
<file path=[Content_Types].xml><?xml version="1.0" encoding="utf-8"?>
<Types xmlns="http://schemas.openxmlformats.org/package/2006/content-types">
  <Override PartName="/xl/chartsheets/sheet46.xml" ContentType="application/vnd.openxmlformats-officedocument.spreadsheetml.chartsheet+xml"/>
  <Override PartName="/xl/chartsheets/sheet93.xml" ContentType="application/vnd.openxmlformats-officedocument.spreadsheetml.chartsheet+xml"/>
  <Override PartName="/xl/worksheets/sheet35.xml" ContentType="application/vnd.openxmlformats-officedocument.spreadsheetml.worksheet+xml"/>
  <Override PartName="/xl/drawings/drawing231.xml" ContentType="application/vnd.openxmlformats-officedocument.drawing+xml"/>
  <Override PartName="/xl/chartsheets/sheet24.xml" ContentType="application/vnd.openxmlformats-officedocument.spreadsheetml.chartsheet+xml"/>
  <Override PartName="/xl/worksheets/sheet13.xml" ContentType="application/vnd.openxmlformats-officedocument.spreadsheetml.worksheet+xml"/>
  <Override PartName="/xl/chartsheets/sheet71.xml" ContentType="application/vnd.openxmlformats-officedocument.spreadsheetml.chart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86.xml" ContentType="application/vnd.openxmlformats-officedocument.drawingml.chartshapes+xml"/>
  <Override PartName="/xl/drawings/drawing168.xml" ContentType="application/vnd.openxmlformats-officedocument.drawing+xml"/>
  <Override PartName="/xl/chartsheets/sheet168.xml" ContentType="application/vnd.openxmlformats-officedocument.spreadsheetml.chartsheet+xml"/>
  <Override PartName="/xl/drawings/drawing17.xml" ContentType="application/vnd.openxmlformats-officedocument.drawingml.chartshapes+xml"/>
  <Override PartName="/xl/drawings/drawing64.xml" ContentType="application/vnd.openxmlformats-officedocument.drawing+xml"/>
  <Override PartName="/xl/drawings/drawing146.xml" ContentType="application/vnd.openxmlformats-officedocument.drawing+xml"/>
  <Override PartName="/xl/drawings/drawing193.xml" ContentType="application/vnd.openxmlformats-officedocument.drawing+xml"/>
  <Override PartName="/xl/charts/chart167.xml" ContentType="application/vnd.openxmlformats-officedocument.drawingml.chart+xml"/>
  <Default Extension="xml" ContentType="application/xml"/>
  <Override PartName="/xl/charts/chart145.xml" ContentType="application/vnd.openxmlformats-officedocument.drawingml.chart+xml"/>
  <Override PartName="/xl/chartsheets/sheet146.xml" ContentType="application/vnd.openxmlformats-officedocument.spreadsheetml.chartsheet+xml"/>
  <Override PartName="/xl/drawings/drawing42.xml" ContentType="application/vnd.openxmlformats-officedocument.drawingml.chartshapes+xml"/>
  <Override PartName="/xl/charts/chart38.xml" ContentType="application/vnd.openxmlformats-officedocument.drawingml.chart+xml"/>
  <Override PartName="/xl/drawings/drawing124.xml" ContentType="application/vnd.openxmlformats-officedocument.drawing+xml"/>
  <Override PartName="/xl/charts/chart85.xml" ContentType="application/vnd.openxmlformats-officedocument.drawingml.chart+xml"/>
  <Override PartName="/xl/drawings/drawing171.xml" ContentType="application/vnd.openxmlformats-officedocument.drawingml.chartshapes+xml"/>
  <Override PartName="/xl/chartsheets/sheet4.xml" ContentType="application/vnd.openxmlformats-officedocument.spreadsheetml.chartsheet+xml"/>
  <Override PartName="/xl/chartsheets/sheet124.xml" ContentType="application/vnd.openxmlformats-officedocument.spreadsheetml.chartsheet+xml"/>
  <Override PartName="/xl/chartsheets/sheet171.xml" ContentType="application/vnd.openxmlformats-officedocument.spreadsheetml.chartsheet+xml"/>
  <Override PartName="/xl/drawings/drawing20.xml" ContentType="application/vnd.openxmlformats-officedocument.drawing+xml"/>
  <Override PartName="/xl/charts/chart16.xml" ContentType="application/vnd.openxmlformats-officedocument.drawingml.chart+xml"/>
  <Override PartName="/xl/charts/chart63.xml" ContentType="application/vnd.openxmlformats-officedocument.drawingml.chart+xml"/>
  <Override PartName="/xl/drawings/drawing102.xml" ContentType="application/vnd.openxmlformats-officedocument.drawingml.chartshapes+xml"/>
  <Override PartName="/xl/charts/chart123.xml" ContentType="application/vnd.openxmlformats-officedocument.drawingml.chart+xml"/>
  <Override PartName="/xl/drawings/drawing247.xml" ContentType="application/vnd.openxmlformats-officedocument.drawing+xml"/>
  <Override PartName="/xl/charts/chart170.xml" ContentType="application/vnd.openxmlformats-officedocument.drawingml.chart+xml"/>
  <Override PartName="/xl/worksheets/sheet29.xml" ContentType="application/vnd.openxmlformats-officedocument.spreadsheetml.worksheet+xml"/>
  <Override PartName="/xl/chartsheets/sheet87.xml" ContentType="application/vnd.openxmlformats-officedocument.spreadsheetml.chartsheet+xml"/>
  <Override PartName="/xl/charts/chart101.xml" ContentType="application/vnd.openxmlformats-officedocument.drawingml.chart+xml"/>
  <Override PartName="/xl/drawings/drawing225.xml" ContentType="application/vnd.openxmlformats-officedocument.drawing+xml"/>
  <Override PartName="/xl/chartsheets/sheet102.xml" ContentType="application/vnd.openxmlformats-officedocument.spreadsheetml.chartsheet+xml"/>
  <Override PartName="/xl/charts/chart41.xml" ContentType="application/vnd.openxmlformats-officedocument.drawingml.chart+xml"/>
  <Override PartName="/xl/chartsheets/sheet18.xml" ContentType="application/vnd.openxmlformats-officedocument.spreadsheetml.chartsheet+xml"/>
  <Override PartName="/xl/chartsheets/sheet65.xml" ContentType="application/vnd.openxmlformats-officedocument.spreadsheetml.chartsheet+xml"/>
  <Default Extension="png" ContentType="image/png"/>
  <Override PartName="/xl/drawings/drawing187.xml" ContentType="application/vnd.openxmlformats-officedocument.drawing+xml"/>
  <Override PartName="/xl/drawings/drawing203.xml" ContentType="application/vnd.openxmlformats-officedocument.drawing+xml"/>
  <Override PartName="/xl/drawings/drawing250.xml" ContentType="application/vnd.openxmlformats-officedocument.drawingml.chartshapes+xml"/>
  <Override PartName="/xl/chartsheets/sheet43.xml" ContentType="application/vnd.openxmlformats-officedocument.spreadsheetml.chartsheet+xml"/>
  <Override PartName="/xl/worksheets/sheet32.xml" ContentType="application/vnd.openxmlformats-officedocument.spreadsheetml.worksheet+xml"/>
  <Override PartName="/xl/chartsheets/sheet90.xml" ContentType="application/vnd.openxmlformats-officedocument.spreadsheetml.chartsheet+xml"/>
  <Override PartName="/xl/drawings/drawing7.xml" ContentType="application/vnd.openxmlformats-officedocument.drawingml.chartshapes+xml"/>
  <Override PartName="/xl/drawings/drawing58.xml" ContentType="application/vnd.openxmlformats-officedocument.drawing+xml"/>
  <Override PartName="/xl/charts/chart139.xml" ContentType="application/vnd.openxmlformats-officedocument.drawingml.chart+xml"/>
  <Override PartName="/xl/worksheets/sheet8.xml" ContentType="application/vnd.openxmlformats-officedocument.spreadsheetml.worksheet+xml"/>
  <Override PartName="/xl/drawings/drawing36.xml" ContentType="application/vnd.openxmlformats-officedocument.drawing+xml"/>
  <Override PartName="/xl/drawings/drawing83.xml" ContentType="application/vnd.openxmlformats-officedocument.drawing+xml"/>
  <Override PartName="/xl/drawings/drawing118.xml" ContentType="application/vnd.openxmlformats-officedocument.drawing+xml"/>
  <Override PartName="/xl/charts/chart79.xml" ContentType="application/vnd.openxmlformats-officedocument.drawingml.chart+xml"/>
  <Override PartName="/xl/drawings/drawing165.xml" ContentType="application/vnd.openxmlformats-officedocument.drawing+xml"/>
  <Override PartName="/xl/worksheets/sheet10.xml" ContentType="application/vnd.openxmlformats-officedocument.spreadsheetml.worksheet+xml"/>
  <Override PartName="/xl/chartsheets/sheet21.xml" ContentType="application/vnd.openxmlformats-officedocument.spreadsheetml.chartsheet+xml"/>
  <Override PartName="/xl/charts/chart1.xml" ContentType="application/vnd.openxmlformats-officedocument.drawingml.chart+xml"/>
  <Override PartName="/xl/charts/chart57.xml" ContentType="application/vnd.openxmlformats-officedocument.drawingml.chart+xml"/>
  <Override PartName="/xl/drawings/drawing143.xml" ContentType="application/vnd.openxmlformats-officedocument.drawing+xml"/>
  <Override PartName="/xl/charts/chart117.xml" ContentType="application/vnd.openxmlformats-officedocument.drawingml.chart+xml"/>
  <Override PartName="/xl/drawings/drawing190.xml" ContentType="application/vnd.openxmlformats-officedocument.drawingml.chartshapes+xml"/>
  <Override PartName="/xl/charts/chart164.xml" ContentType="application/vnd.openxmlformats-officedocument.drawingml.chart+xml"/>
  <Override PartName="/xl/chartsheets/sheet118.xml" ContentType="application/vnd.openxmlformats-officedocument.spreadsheetml.chartsheet+xml"/>
  <Override PartName="/xl/chartsheets/sheet165.xml" ContentType="application/vnd.openxmlformats-officedocument.spreadsheetml.chartsheet+xml"/>
  <Override PartName="/xl/drawings/drawing14.xml" ContentType="application/vnd.openxmlformats-officedocument.drawing+xml"/>
  <Override PartName="/xl/drawings/drawing61.xml" ContentType="application/vnd.openxmlformats-officedocument.drawingml.chartshapes+xml"/>
  <Override PartName="/xl/charts/chart142.xml" ContentType="application/vnd.openxmlformats-officedocument.drawingml.chart+xml"/>
  <Override PartName="/xl/chartsheets/sheet143.xml" ContentType="application/vnd.openxmlformats-officedocument.spreadsheetml.chartsheet+xml"/>
  <Override PartName="/xl/charts/chart35.xml" ContentType="application/vnd.openxmlformats-officedocument.drawingml.chart+xml"/>
  <Override PartName="/xl/drawings/drawing121.xml" ContentType="application/vnd.openxmlformats-officedocument.drawing+xml"/>
  <Override PartName="/xl/charts/chart82.xml" ContentType="application/vnd.openxmlformats-officedocument.drawingml.chart+xml"/>
  <Override PartName="/xl/drawings/drawing219.xml" ContentType="application/vnd.openxmlformats-officedocument.drawing+xml"/>
  <Override PartName="/xl/calcChain.xml" ContentType="application/vnd.openxmlformats-officedocument.spreadsheetml.calcChain+xml"/>
  <Override PartName="/xl/chartsheets/sheet59.xml" ContentType="application/vnd.openxmlformats-officedocument.spreadsheetml.chartsheet+xml"/>
  <Override PartName="/xl/charts/chart13.xml" ContentType="application/vnd.openxmlformats-officedocument.drawingml.chart+xml"/>
  <Override PartName="/xl/charts/chart120.xml" ContentType="application/vnd.openxmlformats-officedocument.drawingml.chart+xml"/>
  <Override PartName="/xl/drawings/drawing244.xml" ContentType="application/vnd.openxmlformats-officedocument.drawingml.chartshapes+xml"/>
  <Override PartName="/xl/chartsheets/sheet1.xml" ContentType="application/vnd.openxmlformats-officedocument.spreadsheetml.chartsheet+xml"/>
  <Override PartName="/xl/worksheets/sheet26.xml" ContentType="application/vnd.openxmlformats-officedocument.spreadsheetml.worksheet+xml"/>
  <Override PartName="/xl/chartsheets/sheet121.xml" ContentType="application/vnd.openxmlformats-officedocument.spreadsheetml.chartsheet+xml"/>
  <Override PartName="/xl/charts/chart60.xml" ContentType="application/vnd.openxmlformats-officedocument.drawingml.chart+xml"/>
  <Override PartName="/xl/drawings/drawing99.xml" ContentType="application/vnd.openxmlformats-officedocument.drawing+xml"/>
  <Override PartName="/xl/chartsheets/sheet37.xml" ContentType="application/vnd.openxmlformats-officedocument.spreadsheetml.chartsheet+xml"/>
  <Override PartName="/xl/chartsheets/sheet84.xml" ContentType="application/vnd.openxmlformats-officedocument.spreadsheetml.chartsheet+xml"/>
  <Override PartName="/xl/drawings/drawing159.xml" ContentType="application/vnd.openxmlformats-officedocument.drawing+xml"/>
  <Override PartName="/xl/drawings/drawing222.xml" ContentType="application/vnd.openxmlformats-officedocument.drawingml.chartshapes+xml"/>
  <Override PartName="/xl/chartsheets/sheet15.xml" ContentType="application/vnd.openxmlformats-officedocument.spreadsheetml.chartsheet+xml"/>
  <Override PartName="/xl/chartsheets/sheet62.xml" ContentType="application/vnd.openxmlformats-officedocument.spreadsheetml.chartsheet+xml"/>
  <Override PartName="/xl/drawings/drawing77.xml" ContentType="application/vnd.openxmlformats-officedocument.drawing+xml"/>
  <Override PartName="/xl/drawings/drawing200.xml" ContentType="application/vnd.openxmlformats-officedocument.drawingml.chartshapes+xml"/>
  <Override PartName="/xl/charts/chart158.xml" ContentType="application/vnd.openxmlformats-officedocument.drawingml.chart+xml"/>
  <Override PartName="/xl/chartsheets/sheet159.xml" ContentType="application/vnd.openxmlformats-officedocument.spreadsheetml.chartsheet+xml"/>
  <Override PartName="/xl/drawings/drawing4.xml" ContentType="application/vnd.openxmlformats-officedocument.drawing+xml"/>
  <Override PartName="/xl/drawings/drawing55.xml" ContentType="application/vnd.openxmlformats-officedocument.drawingml.chartshapes+xml"/>
  <Override PartName="/xl/drawings/drawing137.xml" ContentType="application/vnd.openxmlformats-officedocument.drawing+xml"/>
  <Override PartName="/xl/charts/chart98.xml" ContentType="application/vnd.openxmlformats-officedocument.drawingml.chart+xml"/>
  <Override PartName="/xl/drawings/drawing184.xml" ContentType="application/vnd.openxmlformats-officedocument.drawing+xml"/>
  <Override PartName="/xl/worksheets/sheet5.xml" ContentType="application/vnd.openxmlformats-officedocument.spreadsheetml.worksheet+xml"/>
  <Override PartName="/xl/chartsheets/sheet40.xml" ContentType="application/vnd.openxmlformats-officedocument.spreadsheetml.chartsheet+xml"/>
  <Override PartName="/xl/chartsheets/sheet137.xml" ContentType="application/vnd.openxmlformats-officedocument.spreadsheetml.chartsheet+xml"/>
  <Override PartName="/xl/charts/chart29.xml" ContentType="application/vnd.openxmlformats-officedocument.drawingml.chart+xml"/>
  <Override PartName="/xl/drawings/drawing115.xml" ContentType="application/vnd.openxmlformats-officedocument.drawing+xml"/>
  <Override PartName="/xl/charts/chart76.xml" ContentType="application/vnd.openxmlformats-officedocument.drawingml.chart+xml"/>
  <Override PartName="/xl/drawings/drawing162.xml" ContentType="application/vnd.openxmlformats-officedocument.drawing+xml"/>
  <Override PartName="/xl/charts/chart136.xml" ContentType="application/vnd.openxmlformats-officedocument.drawingml.chart+xml"/>
  <Override PartName="/xl/charts/chart183.xml" ContentType="application/vnd.openxmlformats-officedocument.drawingml.chart+xml"/>
  <Override PartName="/xl/drawings/drawing33.xml" ContentType="application/vnd.openxmlformats-officedocument.drawing+xml"/>
  <Override PartName="/xl/drawings/drawing80.xml" ContentType="application/vnd.openxmlformats-officedocument.drawing+xml"/>
  <Override PartName="/xl/charts/chart114.xml" ContentType="application/vnd.openxmlformats-officedocument.drawingml.chart+xml"/>
  <Override PartName="/xl/charts/chart161.xml" ContentType="application/vnd.openxmlformats-officedocument.drawingml.chart+xml"/>
  <Override PartName="/xl/chartsheets/sheet115.xml" ContentType="application/vnd.openxmlformats-officedocument.spreadsheetml.chartsheet+xml"/>
  <Override PartName="/xl/chartsheets/sheet162.xml" ContentType="application/vnd.openxmlformats-officedocument.spreadsheetml.chartsheet+xml"/>
  <Override PartName="/xl/drawings/drawing11.xml" ContentType="application/vnd.openxmlformats-officedocument.drawingml.chartshapes+xml"/>
  <Override PartName="/xl/charts/chart54.xml" ContentType="application/vnd.openxmlformats-officedocument.drawingml.chart+xml"/>
  <Override PartName="/xl/drawings/drawing140.xml" ContentType="application/vnd.openxmlformats-officedocument.drawing+xml"/>
  <Override PartName="/xl/drawings/drawing238.xml" ContentType="application/vnd.openxmlformats-officedocument.drawingml.chartshapes+xml"/>
  <Override PartName="/xl/chartsheets/sheet78.xml" ContentType="application/vnd.openxmlformats-officedocument.spreadsheetml.chartsheet+xml"/>
  <Override PartName="/xl/charts/chart32.xml" ContentType="application/vnd.openxmlformats-officedocument.drawingml.chart+xml"/>
  <Override PartName="/xl/drawings/drawing216.xml" ContentType="application/vnd.openxmlformats-officedocument.drawingml.chartshapes+xml"/>
  <Override PartName="/xl/drawings/drawing263.xml" ContentType="application/vnd.openxmlformats-officedocument.drawing+xml"/>
  <Override PartName="/xl/chartsheets/sheet56.xml" ContentType="application/vnd.openxmlformats-officedocument.spreadsheetml.chartsheet+xml"/>
  <Override PartName="/xl/chartsheets/sheet140.xml" ContentType="application/vnd.openxmlformats-officedocument.spreadsheetml.chartsheet+xml"/>
  <Override PartName="/xl/charts/chart10.xml" ContentType="application/vnd.openxmlformats-officedocument.drawingml.chart+xml"/>
  <Override PartName="/xl/drawings/drawing178.xml" ContentType="application/vnd.openxmlformats-officedocument.drawing+xml"/>
  <Override PartName="/xl/drawings/drawing241.xml" ContentType="application/vnd.openxmlformats-officedocument.drawing+xml"/>
  <Override PartName="/xl/worksheets/sheet23.xml" ContentType="application/vnd.openxmlformats-officedocument.spreadsheetml.worksheet+xml"/>
  <Override PartName="/xl/chartsheets/sheet34.xml" ContentType="application/vnd.openxmlformats-officedocument.spreadsheetml.chartsheet+xml"/>
  <Override PartName="/xl/chartsheets/sheet81.xml" ContentType="application/vnd.openxmlformats-officedocument.spreadsheetml.chartsheet+xml"/>
  <Override PartName="/xl/drawings/drawing49.xml" ContentType="application/vnd.openxmlformats-officedocument.drawing+xml"/>
  <Override PartName="/xl/drawings/drawing96.xml" ContentType="application/vnd.openxmlformats-officedocument.drawing+xml"/>
  <Override PartName="/xl/charts/chart177.xml" ContentType="application/vnd.openxmlformats-officedocument.drawingml.chart+xml"/>
  <Override PartName="/xl/drawings/drawing27.xml" ContentType="application/vnd.openxmlformats-officedocument.drawing+xml"/>
  <Override PartName="/xl/drawings/drawing74.xml" ContentType="application/vnd.openxmlformats-officedocument.drawing+xml"/>
  <Override PartName="/xl/drawings/drawing109.xml" ContentType="application/vnd.openxmlformats-officedocument.drawing+xml"/>
  <Override PartName="/xl/drawings/drawing156.xml" ContentType="application/vnd.openxmlformats-officedocument.drawingml.chartshapes+xml"/>
  <Override PartName="/xl/chartsheets/sheet12.xml" ContentType="application/vnd.openxmlformats-officedocument.spreadsheetml.chartsheet+xml"/>
  <Override PartName="/xl/chartsheets/sheet109.xml" ContentType="application/vnd.openxmlformats-officedocument.spreadsheetml.chartsheet+xml"/>
  <Override PartName="/xl/chartsheets/sheet156.xml" ContentType="application/vnd.openxmlformats-officedocument.spreadsheetml.chartsheet+xml"/>
  <Override PartName="/xl/charts/chart48.xml" ContentType="application/vnd.openxmlformats-officedocument.drawingml.chart+xml"/>
  <Override PartName="/xl/drawings/drawing134.xml" ContentType="application/vnd.openxmlformats-officedocument.drawingml.chartshapes+xml"/>
  <Override PartName="/xl/charts/chart95.xml" ContentType="application/vnd.openxmlformats-officedocument.drawingml.chart+xml"/>
  <Override PartName="/xl/charts/chart108.xml" ContentType="application/vnd.openxmlformats-officedocument.drawingml.chart+xml"/>
  <Override PartName="/xl/drawings/drawing181.xml" ContentType="application/vnd.openxmlformats-officedocument.drawing+xml"/>
  <Override PartName="/xl/charts/chart155.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drawings/drawing52.xml" ContentType="application/vnd.openxmlformats-officedocument.drawing+xml"/>
  <Override PartName="/xl/charts/chart133.xml" ContentType="application/vnd.openxmlformats-officedocument.drawingml.chart+xml"/>
  <Override PartName="/xl/drawings/drawing257.xml" ContentType="application/vnd.openxmlformats-officedocument.drawingml.chartshapes+xml"/>
  <Override PartName="/xl/charts/chart180.xml" ContentType="application/vnd.openxmlformats-officedocument.drawingml.chart+xml"/>
  <Override PartName="/xl/chartsheets/sheet134.xml" ContentType="application/vnd.openxmlformats-officedocument.spreadsheetml.chartsheet+xml"/>
  <Override PartName="/xl/drawings/drawing30.xml" ContentType="application/vnd.openxmlformats-officedocument.drawingml.chartshapes+xml"/>
  <Override PartName="/xl/charts/chart26.xml" ContentType="application/vnd.openxmlformats-officedocument.drawingml.chart+xml"/>
  <Override PartName="/xl/drawings/drawing112.xml" ContentType="application/vnd.openxmlformats-officedocument.drawingml.chartshapes+xml"/>
  <Override PartName="/xl/charts/chart73.xml" ContentType="application/vnd.openxmlformats-officedocument.drawingml.chart+xml"/>
  <Override PartName="/xl/chartsheets/sheet97.xml" ContentType="application/vnd.openxmlformats-officedocument.spreadsheetml.chartsheet+xml"/>
  <Override PartName="/xl/chartsheets/sheet112.xml" ContentType="application/vnd.openxmlformats-officedocument.spreadsheetml.chartsheet+xml"/>
  <Override PartName="/xl/worksheets/sheet39.xml" ContentType="application/vnd.openxmlformats-officedocument.spreadsheetml.worksheet+xml"/>
  <Override PartName="/xl/charts/chart51.xml" ContentType="application/vnd.openxmlformats-officedocument.drawingml.chart+xml"/>
  <Override PartName="/xl/charts/chart111.xml" ContentType="application/vnd.openxmlformats-officedocument.drawingml.chart+xml"/>
  <Override PartName="/xl/drawings/drawing235.xml" ContentType="application/vnd.openxmlformats-officedocument.drawing+xml"/>
  <Override PartName="/xl/chartsheets/sheet28.xml" ContentType="application/vnd.openxmlformats-officedocument.spreadsheetml.chartsheet+xml"/>
  <Override PartName="/xl/worksheets/sheet17.xml" ContentType="application/vnd.openxmlformats-officedocument.spreadsheetml.worksheet+xml"/>
  <Override PartName="/xl/chartsheets/sheet75.xml" ContentType="application/vnd.openxmlformats-officedocument.spreadsheetml.chartsheet+xml"/>
  <Override PartName="/xl/charts/chart8.xml" ContentType="application/vnd.openxmlformats-officedocument.drawingml.chart+xml"/>
  <Override PartName="/xl/drawings/drawing68.xml" ContentType="application/vnd.openxmlformats-officedocument.drawing+xml"/>
  <Override PartName="/xl/drawings/drawing197.xml" ContentType="application/vnd.openxmlformats-officedocument.drawing+xml"/>
  <Override PartName="/xl/drawings/drawing213.xml" ContentType="application/vnd.openxmlformats-officedocument.drawing+xml"/>
  <Override PartName="/xl/drawings/drawing260.xml" ContentType="application/vnd.openxmlformats-officedocument.drawing+xml"/>
  <Override PartName="/xl/chartsheets/sheet53.xml" ContentType="application/vnd.openxmlformats-officedocument.spreadsheetml.chartsheet+xml"/>
  <Override PartName="/xl/worksheets/sheet42.xml" ContentType="application/vnd.openxmlformats-officedocument.spreadsheetml.worksheet+xml"/>
  <Override PartName="/xl/charts/chart149.xml" ContentType="application/vnd.openxmlformats-officedocument.drawingml.chart+xml"/>
  <Override PartName="/xl/chartsheets/sheet31.xml" ContentType="application/vnd.openxmlformats-officedocument.spreadsheetml.chartsheet+xml"/>
  <Override PartName="/xl/worksheets/sheet20.xml" ContentType="application/vnd.openxmlformats-officedocument.spreadsheetml.worksheet+xml"/>
  <Override PartName="/xl/drawings/drawing46.xml" ContentType="application/vnd.openxmlformats-officedocument.drawingml.chartshapes+xml"/>
  <Override PartName="/xl/drawings/drawing93.xml" ContentType="application/vnd.openxmlformats-officedocument.drawing+xml"/>
  <Override PartName="/xl/drawings/drawing128.xml" ContentType="application/vnd.openxmlformats-officedocument.drawingml.chartshapes+xml"/>
  <Override PartName="/xl/charts/chart89.xml" ContentType="application/vnd.openxmlformats-officedocument.drawingml.chart+xml"/>
  <Override PartName="/xl/drawings/drawing175.xml" ContentType="application/vnd.openxmlformats-officedocument.drawingml.chartshapes+xml"/>
  <Override PartName="/xl/chartsheets/sheet128.xml" ContentType="application/vnd.openxmlformats-officedocument.spreadsheetml.chartsheet+xml"/>
  <Override PartName="/xl/chartsheets/sheet175.xml" ContentType="application/vnd.openxmlformats-officedocument.spreadsheetml.chartsheet+xml"/>
  <Override PartName="/xl/comments4.xml" ContentType="application/vnd.openxmlformats-officedocument.spreadsheetml.comments+xml"/>
  <Override PartName="/xl/charts/chart67.xml" ContentType="application/vnd.openxmlformats-officedocument.drawingml.chart+xml"/>
  <Override PartName="/xl/drawings/drawing106.xml" ContentType="application/vnd.openxmlformats-officedocument.drawingml.chartshapes+xml"/>
  <Override PartName="/xl/drawings/drawing153.xml" ContentType="application/vnd.openxmlformats-officedocument.drawing+xml"/>
  <Override PartName="/xl/charts/chart127.xml" ContentType="application/vnd.openxmlformats-officedocument.drawingml.chart+xml"/>
  <Override PartName="/xl/charts/chart174.xml" ContentType="application/vnd.openxmlformats-officedocument.drawingml.chart+xml"/>
  <Override PartName="/xl/chartsheets/sheet8.xml" ContentType="application/vnd.openxmlformats-officedocument.spreadsheetml.chartsheet+xml"/>
  <Override PartName="/xl/drawings/drawing24.xml" ContentType="application/vnd.openxmlformats-officedocument.drawing+xml"/>
  <Override PartName="/xl/drawings/drawing71.xml" ContentType="application/vnd.openxmlformats-officedocument.drawingml.chartshapes+xml"/>
  <Override PartName="/xl/charts/chart105.xml" ContentType="application/vnd.openxmlformats-officedocument.drawingml.chart+xml"/>
  <Override PartName="/xl/drawings/drawing229.xml" ContentType="application/vnd.openxmlformats-officedocument.drawing+xml"/>
  <Override PartName="/xl/charts/chart152.xml" ContentType="application/vnd.openxmlformats-officedocument.drawingml.chart+xml"/>
  <Override PartName="/xl/chartsheets/sheet106.xml" ContentType="application/vnd.openxmlformats-officedocument.spreadsheetml.chartsheet+xml"/>
  <Override PartName="/xl/chartsheets/sheet153.xml" ContentType="application/vnd.openxmlformats-officedocument.spreadsheetml.chartsheet+xml"/>
  <Override PartName="/xl/charts/chart45.xml" ContentType="application/vnd.openxmlformats-officedocument.drawingml.chart+xml"/>
  <Override PartName="/xl/drawings/drawing131.xml" ContentType="application/vnd.openxmlformats-officedocument.drawing+xml"/>
  <Override PartName="/xl/charts/chart92.xml" ContentType="application/vnd.openxmlformats-officedocument.drawingml.chart+xml"/>
  <Override PartName="/xl/chartsheets/sheet69.xml" ContentType="application/vnd.openxmlformats-officedocument.spreadsheetml.chartsheet+xml"/>
  <Override PartName="/xl/chartsheets/sheet131.xml" ContentType="application/vnd.openxmlformats-officedocument.spreadsheetml.chartsheet+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drawings/drawing207.xml" ContentType="application/vnd.openxmlformats-officedocument.drawingml.chartshapes+xml"/>
  <Override PartName="/xl/drawings/drawing254.xml" ContentType="application/vnd.openxmlformats-officedocument.drawing+xml"/>
  <Override PartName="/xl/chartsheets/sheet47.xml" ContentType="application/vnd.openxmlformats-officedocument.spreadsheetml.chartsheet+xml"/>
  <Override PartName="/xl/chartsheets/sheet94.xml" ContentType="application/vnd.openxmlformats-officedocument.spreadsheetml.chartsheet+xml"/>
  <Override PartName="/xl/worksheets/sheet36.xml" ContentType="application/vnd.openxmlformats-officedocument.spreadsheetml.worksheet+xml"/>
  <Override PartName="/xl/drawings/drawing232.xml" ContentType="application/vnd.openxmlformats-officedocument.drawing+xml"/>
  <Default Extension="bin" ContentType="application/vnd.openxmlformats-officedocument.spreadsheetml.printerSettings"/>
  <Override PartName="/xl/drawings/drawing87.xml" ContentType="application/vnd.openxmlformats-officedocument.drawing+xml"/>
  <Override PartName="/xl/drawings/drawing169.xml" ContentType="application/vnd.openxmlformats-officedocument.drawingml.chartshapes+xml"/>
  <Override PartName="/xl/chartsheets/sheet25.xml" ContentType="application/vnd.openxmlformats-officedocument.spreadsheetml.chartsheet+xml"/>
  <Override PartName="/xl/worksheets/sheet14.xml" ContentType="application/vnd.openxmlformats-officedocument.spreadsheetml.worksheet+xml"/>
  <Override PartName="/xl/chartsheets/sheet72.xml" ContentType="application/vnd.openxmlformats-officedocument.spreadsheetml.chartsheet+xml"/>
  <Override PartName="/xl/charts/chart5.xml" ContentType="application/vnd.openxmlformats-officedocument.drawingml.chart+xml"/>
  <Override PartName="/xl/drawings/drawing210.xml" ContentType="application/vnd.openxmlformats-officedocument.drawing+xml"/>
  <Override PartName="/xl/charts/chart168.xml" ContentType="application/vnd.openxmlformats-officedocument.drawingml.chart+xml"/>
  <Override PartName="/xl/chartsheets/sheet50.xml" ContentType="application/vnd.openxmlformats-officedocument.spreadsheetml.chartsheet+xml"/>
  <Override PartName="/xl/chartsheets/sheet169.xml" ContentType="application/vnd.openxmlformats-officedocument.spreadsheetml.chartsheet+xml"/>
  <Override PartName="/xl/drawings/drawing18.xml" ContentType="application/vnd.openxmlformats-officedocument.drawing+xml"/>
  <Override PartName="/xl/drawings/drawing65.xml" ContentType="application/vnd.openxmlformats-officedocument.drawingml.chartshapes+xml"/>
  <Override PartName="/xl/drawings/drawing147.xml" ContentType="application/vnd.openxmlformats-officedocument.drawing+xml"/>
  <Override PartName="/xl/drawings/drawing194.xml" ContentType="application/vnd.openxmlformats-officedocument.drawingml.chartshapes+xml"/>
  <Override PartName="/xl/chartsheets/sheet147.xml" ContentType="application/vnd.openxmlformats-officedocument.spreadsheetml.chartsheet+xml"/>
  <Override PartName="/xl/drawings/drawing43.xml" ContentType="application/vnd.openxmlformats-officedocument.drawing+xml"/>
  <Override PartName="/xl/charts/chart39.xml" ContentType="application/vnd.openxmlformats-officedocument.drawingml.chart+xml"/>
  <Override PartName="/xl/drawings/drawing90.xml" ContentType="application/vnd.openxmlformats-officedocument.drawingml.chartshapes+xml"/>
  <Override PartName="/xl/drawings/drawing125.xml" ContentType="application/vnd.openxmlformats-officedocument.drawing+xml"/>
  <Override PartName="/xl/charts/chart86.xml" ContentType="application/vnd.openxmlformats-officedocument.drawingml.chart+xml"/>
  <Override PartName="/xl/drawings/drawing172.xml" ContentType="application/vnd.openxmlformats-officedocument.drawing+xml"/>
  <Override PartName="/xl/charts/chart146.xml" ContentType="application/vnd.openxmlformats-officedocument.drawingml.chart+xml"/>
  <Override PartName="/xl/charts/chart124.xml" ContentType="application/vnd.openxmlformats-officedocument.drawingml.chart+xml"/>
  <Override PartName="/xl/drawings/drawing248.xml" ContentType="application/vnd.openxmlformats-officedocument.drawing+xml"/>
  <Override PartName="/xl/charts/chart171.xml" ContentType="application/vnd.openxmlformats-officedocument.drawingml.chart+xml"/>
  <Override PartName="/xl/chartsheets/sheet5.xml" ContentType="application/vnd.openxmlformats-officedocument.spreadsheetml.chartsheet+xml"/>
  <Override PartName="/xl/chartsheets/sheet125.xml" ContentType="application/vnd.openxmlformats-officedocument.spreadsheetml.chartsheet+xml"/>
  <Override PartName="/xl/chartsheets/sheet172.xml" ContentType="application/vnd.openxmlformats-officedocument.spreadsheetml.chartsheet+xml"/>
  <Override PartName="/xl/drawings/drawing21.xml" ContentType="application/vnd.openxmlformats-officedocument.drawingml.chartshapes+xml"/>
  <Override PartName="/xl/charts/chart17.xml" ContentType="application/vnd.openxmlformats-officedocument.drawingml.chart+xml"/>
  <Override PartName="/xl/comments1.xml" ContentType="application/vnd.openxmlformats-officedocument.spreadsheetml.comments+xml"/>
  <Override PartName="/xl/charts/chart64.xml" ContentType="application/vnd.openxmlformats-officedocument.drawingml.chart+xml"/>
  <Override PartName="/xl/drawings/drawing103.xml" ContentType="application/vnd.openxmlformats-officedocument.drawing+xml"/>
  <Override PartName="/xl/drawings/drawing150.xml" ContentType="application/vnd.openxmlformats-officedocument.drawingml.chartshapes+xml"/>
  <Override PartName="/xl/chartsheets/sheet88.xml" ContentType="application/vnd.openxmlformats-officedocument.spreadsheetml.chartsheet+xml"/>
  <Override PartName="/xl/chartsheets/sheet103.xml" ContentType="application/vnd.openxmlformats-officedocument.spreadsheetml.chartsheet+xml"/>
  <Override PartName="/xl/chartsheets/sheet150.xml" ContentType="application/vnd.openxmlformats-officedocument.spreadsheetml.chartsheet+xml"/>
  <Override PartName="/xl/charts/chart42.xml" ContentType="application/vnd.openxmlformats-officedocument.drawingml.chart+xml"/>
  <Override PartName="/xl/charts/chart102.xml" ContentType="application/vnd.openxmlformats-officedocument.drawingml.chart+xml"/>
  <Override PartName="/xl/drawings/drawing226.xml" ContentType="application/vnd.openxmlformats-officedocument.drawing+xml"/>
  <Override PartName="/xl/chartsheets/sheet19.xml" ContentType="application/vnd.openxmlformats-officedocument.spreadsheetml.chartsheet+xml"/>
  <Override PartName="/xl/chartsheets/sheet66.xml" ContentType="application/vnd.openxmlformats-officedocument.spreadsheetml.chartsheet+xml"/>
  <Override PartName="/xl/drawings/drawing204.xml" ContentType="application/vnd.openxmlformats-officedocument.drawing+xml"/>
  <Override PartName="/xl/drawings/drawing251.xml" ContentType="application/vnd.openxmlformats-officedocument.drawing+xml"/>
  <Override PartName="/xl/charts/chart20.xml" ContentType="application/vnd.openxmlformats-officedocument.drawingml.chart+xml"/>
  <Override PartName="/xl/drawings/drawing59.xml" ContentType="application/vnd.openxmlformats-officedocument.drawingml.chartshapes+xml"/>
  <Override PartName="/xl/drawings/drawing188.xml" ContentType="application/vnd.openxmlformats-officedocument.drawingml.chartshapes+xml"/>
  <Override PartName="/xl/worksheets/sheet9.xml" ContentType="application/vnd.openxmlformats-officedocument.spreadsheetml.worksheet+xml"/>
  <Override PartName="/xl/chartsheets/sheet44.xml" ContentType="application/vnd.openxmlformats-officedocument.spreadsheetml.chartsheet+xml"/>
  <Override PartName="/xl/worksheets/sheet33.xml" ContentType="application/vnd.openxmlformats-officedocument.spreadsheetml.worksheet+xml"/>
  <Override PartName="/xl/chartsheets/sheet91.xml" ContentType="application/vnd.openxmlformats-officedocument.spreadsheetml.chartsheet+xml"/>
  <Override PartName="/xl/theme/theme1.xml" ContentType="application/vnd.openxmlformats-officedocument.theme+xml"/>
  <Override PartName="/xl/drawings/drawing8.xml" ContentType="application/vnd.openxmlformats-officedocument.drawing+xml"/>
  <Override PartName="/xl/drawings/drawing119.xml" ContentType="application/vnd.openxmlformats-officedocument.drawing+xml"/>
  <Override PartName="/xl/drawings/drawing166.xml" ContentType="application/vnd.openxmlformats-officedocument.drawing+xml"/>
  <Override PartName="/xl/worksheets/sheet11.xml" ContentType="application/vnd.openxmlformats-officedocument.spreadsheetml.worksheet+xml"/>
  <Override PartName="/xl/chartsheets/sheet22.xml" ContentType="application/vnd.openxmlformats-officedocument.spreadsheetml.chartsheet+xml"/>
  <Override PartName="/xl/charts/chart2.xml" ContentType="application/vnd.openxmlformats-officedocument.drawingml.chart+xml"/>
  <Override PartName="/xl/drawings/drawing37.xml" ContentType="application/vnd.openxmlformats-officedocument.drawing+xml"/>
  <Override PartName="/xl/drawings/drawing84.xml" ContentType="application/vnd.openxmlformats-officedocument.drawingml.chartshapes+xml"/>
  <Override PartName="/xl/charts/chart118.xml" ContentType="application/vnd.openxmlformats-officedocument.drawingml.chart+xml"/>
  <Override PartName="/xl/charts/chart165.xml" ContentType="application/vnd.openxmlformats-officedocument.drawingml.chart+xml"/>
  <Override PartName="/xl/chartsheets/sheet11.xml" ContentType="application/vnd.openxmlformats-officedocument.spreadsheetml.chartsheet+xml"/>
  <Override PartName="/xl/chartsheets/sheet119.xml" ContentType="application/vnd.openxmlformats-officedocument.spreadsheetml.chartsheet+xml"/>
  <Override PartName="/xl/chartsheets/sheet166.xml" ContentType="application/vnd.openxmlformats-officedocument.spreadsheetml.chartsheet+xml"/>
  <Override PartName="/xl/drawings/drawing15.xml" ContentType="application/vnd.openxmlformats-officedocument.drawingml.chartshapes+xml"/>
  <Override PartName="/xl/drawings/drawing26.xml" ContentType="application/vnd.openxmlformats-officedocument.drawing+xml"/>
  <Override PartName="/xl/drawings/drawing62.xml" ContentType="application/vnd.openxmlformats-officedocument.drawing+xml"/>
  <Override PartName="/xl/drawings/drawing73.xml" ContentType="application/vnd.openxmlformats-officedocument.drawing+xml"/>
  <Override PartName="/xl/charts/chart58.xml" ContentType="application/vnd.openxmlformats-officedocument.drawingml.chart+xml"/>
  <Override PartName="/xl/drawings/drawing144.xml" ContentType="application/vnd.openxmlformats-officedocument.drawing+xml"/>
  <Override PartName="/xl/charts/chart107.xml" ContentType="application/vnd.openxmlformats-officedocument.drawingml.chart+xml"/>
  <Override PartName="/xl/drawings/drawing191.xml" ContentType="application/vnd.openxmlformats-officedocument.drawing+xml"/>
  <Override PartName="/xl/charts/chart154.xml" ContentType="application/vnd.openxmlformats-officedocument.drawingml.chart+xml"/>
  <Override PartName="/xl/chartsheets/sheet108.xml" ContentType="application/vnd.openxmlformats-officedocument.spreadsheetml.chartsheet+xml"/>
  <Override PartName="/xl/chartsheets/sheet155.xml" ContentType="application/vnd.openxmlformats-officedocument.spreadsheetml.chartsheet+xml"/>
  <Override PartName="/xl/drawings/drawing51.xml" ContentType="application/vnd.openxmlformats-officedocument.drawing+xml"/>
  <Override PartName="/xl/charts/chart36.xml" ContentType="application/vnd.openxmlformats-officedocument.drawingml.chart+xml"/>
  <Override PartName="/xl/charts/chart47.xml" ContentType="application/vnd.openxmlformats-officedocument.drawingml.chart+xml"/>
  <Override PartName="/xl/charts/chart83.xml" ContentType="application/vnd.openxmlformats-officedocument.drawingml.chart+xml"/>
  <Override PartName="/xl/drawings/drawing133.xml" ContentType="application/vnd.openxmlformats-officedocument.drawing+xml"/>
  <Override PartName="/xl/charts/chart94.xml" ContentType="application/vnd.openxmlformats-officedocument.drawingml.chart+xml"/>
  <Override PartName="/xl/drawings/drawing180.xml" ContentType="application/vnd.openxmlformats-officedocument.drawing+xml"/>
  <Override PartName="/xl/charts/chart143.xml" ContentType="application/vnd.openxmlformats-officedocument.drawingml.chart+xml"/>
  <Override PartName="/xl/worksheets/sheet1.xml" ContentType="application/vnd.openxmlformats-officedocument.spreadsheetml.worksheet+xml"/>
  <Override PartName="/xl/chartsheets/sheet133.xml" ContentType="application/vnd.openxmlformats-officedocument.spreadsheetml.chartsheet+xml"/>
  <Override PartName="/xl/chartsheets/sheet144.xml" ContentType="application/vnd.openxmlformats-officedocument.spreadsheetml.chartsheet+xml"/>
  <Override PartName="/xl/charts/chart25.xml" ContentType="application/vnd.openxmlformats-officedocument.drawingml.chart+xml"/>
  <Override PartName="/xl/drawings/drawing40.xml" ContentType="application/vnd.openxmlformats-officedocument.drawingml.chartshapes+xml"/>
  <Override PartName="/xl/drawings/drawing111.xml" ContentType="application/vnd.openxmlformats-officedocument.drawing+xml"/>
  <Override PartName="/xl/charts/chart72.xml" ContentType="application/vnd.openxmlformats-officedocument.drawingml.chart+xml"/>
  <Override PartName="/xl/drawings/drawing122.xml" ContentType="application/vnd.openxmlformats-officedocument.drawing+xml"/>
  <Override PartName="/xl/charts/chart132.xml" ContentType="application/vnd.openxmlformats-officedocument.drawingml.chart+xml"/>
  <Override PartName="/xl/drawings/drawing209.xml" ContentType="application/vnd.openxmlformats-officedocument.drawing+xml"/>
  <Override PartName="/xl/drawings/drawing256.xml" ContentType="application/vnd.openxmlformats-officedocument.drawing+xml"/>
  <Override PartName="/xl/chartsheets/sheet2.xml" ContentType="application/vnd.openxmlformats-officedocument.spreadsheetml.chartsheet+xml"/>
  <Override PartName="/xl/chartsheets/sheet49.xml" ContentType="application/vnd.openxmlformats-officedocument.spreadsheetml.chartsheet+xml"/>
  <Override PartName="/xl/chartsheets/sheet96.xml" ContentType="application/vnd.openxmlformats-officedocument.spreadsheetml.chartsheet+xml"/>
  <Override PartName="/xl/chartsheets/sheet122.xml" ContentType="application/vnd.openxmlformats-officedocument.spreadsheetml.chartsheet+xml"/>
  <Override PartName="/xl/worksheets/sheet38.xml" ContentType="application/vnd.openxmlformats-officedocument.spreadsheetml.worksheet+xml"/>
  <Override PartName="/xl/charts/chart14.xml" ContentType="application/vnd.openxmlformats-officedocument.drawingml.chart+xml"/>
  <Override PartName="/xl/charts/chart61.xml" ContentType="application/vnd.openxmlformats-officedocument.drawingml.chart+xml"/>
  <Override PartName="/xl/drawings/drawing100.xml" ContentType="application/vnd.openxmlformats-officedocument.drawing+xml"/>
  <Override PartName="/xl/charts/chart110.xml" ContentType="application/vnd.openxmlformats-officedocument.drawingml.chart+xml"/>
  <Override PartName="/xl/charts/chart121.xml" ContentType="application/vnd.openxmlformats-officedocument.drawingml.chart+xml"/>
  <Override PartName="/xl/drawings/drawing234.xml" ContentType="application/vnd.openxmlformats-officedocument.drawingml.chartshapes+xml"/>
  <Override PartName="/xl/drawings/drawing245.xml" ContentType="application/vnd.openxmlformats-officedocument.drawing+xml"/>
  <Override PartName="/xl/worksheets/sheet27.xml" ContentType="application/vnd.openxmlformats-officedocument.spreadsheetml.worksheet+xml"/>
  <Override PartName="/xl/chartsheets/sheet38.xml" ContentType="application/vnd.openxmlformats-officedocument.spreadsheetml.chartsheet+xml"/>
  <Override PartName="/xl/chartsheets/sheet85.xml" ContentType="application/vnd.openxmlformats-officedocument.spreadsheetml.chartsheet+xml"/>
  <Override PartName="/xl/chartsheets/sheet111.xml" ContentType="application/vnd.openxmlformats-officedocument.spreadsheetml.chartsheet+xml"/>
  <Override PartName="/xl/charts/chart50.xml" ContentType="application/vnd.openxmlformats-officedocument.drawingml.chart+xml"/>
  <Override PartName="/xl/drawings/drawing89.xml" ContentType="application/vnd.openxmlformats-officedocument.drawing+xml"/>
  <Override PartName="/xl/drawings/drawing223.xml" ContentType="application/vnd.openxmlformats-officedocument.drawing+xml"/>
  <Override PartName="/xl/chartsheets/sheet27.xml" ContentType="application/vnd.openxmlformats-officedocument.spreadsheetml.chartsheet+xml"/>
  <Override PartName="/xl/worksheets/sheet16.xml" ContentType="application/vnd.openxmlformats-officedocument.spreadsheetml.worksheet+xml"/>
  <Override PartName="/xl/chartsheets/sheet74.xml" ContentType="application/vnd.openxmlformats-officedocument.spreadsheetml.chartsheet+xml"/>
  <Override PartName="/xl/chartsheets/sheet100.xml" ContentType="application/vnd.openxmlformats-officedocument.spreadsheetml.chartsheet+xml"/>
  <Override PartName="/xl/charts/chart7.xml" ContentType="application/vnd.openxmlformats-officedocument.drawingml.chart+xml"/>
  <Override PartName="/xl/drawings/drawing78.xml" ContentType="application/vnd.openxmlformats-officedocument.drawingml.chartshapes+xml"/>
  <Override PartName="/xl/drawings/drawing212.xml" ContentType="application/vnd.openxmlformats-officedocument.drawingml.chartshapes+xml"/>
  <Override PartName="/xl/chartsheets/sheet16.xml" ContentType="application/vnd.openxmlformats-officedocument.spreadsheetml.chartsheet+xml"/>
  <Override PartName="/xl/chartsheets/sheet52.xml" ContentType="application/vnd.openxmlformats-officedocument.spreadsheetml.chartsheet+xml"/>
  <Override PartName="/xl/chartsheets/sheet63.xml" ContentType="application/vnd.openxmlformats-officedocument.spreadsheetml.chartsheet+xml"/>
  <Override PartName="/xl/worksheets/sheet41.xml" ContentType="application/vnd.openxmlformats-officedocument.spreadsheetml.worksheet+xml"/>
  <Override PartName="/xl/drawings/drawing67.xml" ContentType="application/vnd.openxmlformats-officedocument.drawingml.chartshapes+xml"/>
  <Override PartName="/xl/drawings/drawing138.xml" ContentType="application/vnd.openxmlformats-officedocument.drawingml.chartshapes+xml"/>
  <Override PartName="/xl/drawings/drawing149.xml" ContentType="application/vnd.openxmlformats-officedocument.drawing+xml"/>
  <Override PartName="/xl/charts/chart99.xml" ContentType="application/vnd.openxmlformats-officedocument.drawingml.chart+xml"/>
  <Override PartName="/xl/drawings/drawing185.xml" ContentType="application/vnd.openxmlformats-officedocument.drawing+xml"/>
  <Override PartName="/xl/drawings/drawing196.xml" ContentType="application/vnd.openxmlformats-officedocument.drawingml.chartshapes+xml"/>
  <Override PartName="/xl/drawings/drawing201.xml" ContentType="application/vnd.openxmlformats-officedocument.drawing+xml"/>
  <Override PartName="/xl/charts/chart159.xml" ContentType="application/vnd.openxmlformats-officedocument.drawingml.chart+xml"/>
  <Override PartName="/xl/worksheets/sheet6.xml" ContentType="application/vnd.openxmlformats-officedocument.spreadsheetml.worksheet+xml"/>
  <Override PartName="/xl/chartsheets/sheet41.xml" ContentType="application/vnd.openxmlformats-officedocument.spreadsheetml.chartsheet+xml"/>
  <Override PartName="/xl/worksheets/sheet30.xml" ContentType="application/vnd.openxmlformats-officedocument.spreadsheetml.worksheet+xml"/>
  <Override PartName="/xl/chartsheets/sheet149.xml" ContentType="application/vnd.openxmlformats-officedocument.spreadsheetml.chartsheet+xml"/>
  <Override PartName="/xl/drawings/drawing5.xml" ContentType="application/vnd.openxmlformats-officedocument.drawing+xml"/>
  <Override PartName="/xl/drawings/drawing45.xml" ContentType="application/vnd.openxmlformats-officedocument.drawing+xml"/>
  <Override PartName="/xl/drawings/drawing56.xml" ContentType="application/vnd.openxmlformats-officedocument.drawing+xml"/>
  <Override PartName="/xl/drawings/drawing92.xml" ContentType="application/vnd.openxmlformats-officedocument.drawingml.chartshapes+xml"/>
  <Override PartName="/xl/drawings/drawing127.xml" ContentType="application/vnd.openxmlformats-officedocument.drawing+xml"/>
  <Override PartName="/xl/charts/chart88.xml" ContentType="application/vnd.openxmlformats-officedocument.drawingml.chart+xml"/>
  <Override PartName="/xl/drawings/drawing174.xml" ContentType="application/vnd.openxmlformats-officedocument.drawing+xml"/>
  <Override PartName="/xl/charts/chart137.xml" ContentType="application/vnd.openxmlformats-officedocument.drawingml.chart+xml"/>
  <Override PartName="/xl/charts/chart148.xml" ContentType="application/vnd.openxmlformats-officedocument.drawingml.chart+xml"/>
  <Override PartName="/xl/charts/chart184.xml" ContentType="application/vnd.openxmlformats-officedocument.drawingml.chart+xml"/>
  <Override PartName="/xl/chartsheets/sheet30.xml" ContentType="application/vnd.openxmlformats-officedocument.spreadsheetml.chartsheet+xml"/>
  <Override PartName="/xl/chartsheets/sheet138.xml" ContentType="application/vnd.openxmlformats-officedocument.spreadsheetml.chartsheet+xml"/>
  <Override PartName="/xl/drawings/drawing34.xml" ContentType="application/vnd.openxmlformats-officedocument.drawingml.chartshapes+xml"/>
  <Override PartName="/xl/drawings/drawing81.xml" ContentType="application/vnd.openxmlformats-officedocument.drawing+xml"/>
  <Override PartName="/xl/drawings/drawing116.xml" ContentType="application/vnd.openxmlformats-officedocument.drawingml.chartshapes+xml"/>
  <Override PartName="/xl/charts/chart77.xml" ContentType="application/vnd.openxmlformats-officedocument.drawingml.chart+xml"/>
  <Override PartName="/xl/drawings/drawing163.xml" ContentType="application/vnd.openxmlformats-officedocument.drawing+xml"/>
  <Override PartName="/xl/charts/chart126.xml" ContentType="application/vnd.openxmlformats-officedocument.drawingml.chart+xml"/>
  <Override PartName="/xl/charts/chart173.xml" ContentType="application/vnd.openxmlformats-officedocument.drawingml.chart+xml"/>
  <Override PartName="/xl/chartsheets/sheet7.xml" ContentType="application/vnd.openxmlformats-officedocument.spreadsheetml.chartsheet+xml"/>
  <Override PartName="/xl/chartsheets/sheet116.xml" ContentType="application/vnd.openxmlformats-officedocument.spreadsheetml.chartsheet+xml"/>
  <Override PartName="/xl/chartsheets/sheet127.xml" ContentType="application/vnd.openxmlformats-officedocument.spreadsheetml.chartsheet+xml"/>
  <Override PartName="/xl/chartsheets/sheet174.xml" ContentType="application/vnd.openxmlformats-officedocument.spreadsheetml.chartsheet+xml"/>
  <Override PartName="/xl/drawings/drawing23.xml" ContentType="application/vnd.openxmlformats-officedocument.drawingml.chartshapes+xml"/>
  <Override PartName="/xl/charts/chart19.xml" ContentType="application/vnd.openxmlformats-officedocument.drawingml.chart+xml"/>
  <Override PartName="/xl/comments3.xml" ContentType="application/vnd.openxmlformats-officedocument.spreadsheetml.comments+xml"/>
  <Override PartName="/xl/drawings/drawing70.xml" ContentType="application/vnd.openxmlformats-officedocument.drawing+xml"/>
  <Override PartName="/xl/charts/chart55.xml" ContentType="application/vnd.openxmlformats-officedocument.drawingml.chart+xml"/>
  <Override PartName="/xl/charts/chart66.xml" ContentType="application/vnd.openxmlformats-officedocument.drawingml.chart+xml"/>
  <Override PartName="/xl/drawings/drawing105.xml" ContentType="application/vnd.openxmlformats-officedocument.drawing+xml"/>
  <Override PartName="/xl/drawings/drawing141.xml" ContentType="application/vnd.openxmlformats-officedocument.drawing+xml"/>
  <Override PartName="/xl/drawings/drawing152.xml" ContentType="application/vnd.openxmlformats-officedocument.drawingml.chartshapes+xml"/>
  <Override PartName="/xl/charts/chart115.xml" ContentType="application/vnd.openxmlformats-officedocument.drawingml.chart+xml"/>
  <Override PartName="/xl/drawings/drawing239.xml" ContentType="application/vnd.openxmlformats-officedocument.drawing+xml"/>
  <Override PartName="/xl/charts/chart162.xml" ContentType="application/vnd.openxmlformats-officedocument.drawingml.chart+xml"/>
  <Override PartName="/xl/chartsheets/sheet79.xml" ContentType="application/vnd.openxmlformats-officedocument.spreadsheetml.chartsheet+xml"/>
  <Override PartName="/xl/chartsheets/sheet105.xml" ContentType="application/vnd.openxmlformats-officedocument.spreadsheetml.chartsheet+xml"/>
  <Override PartName="/xl/chartsheets/sheet152.xml" ContentType="application/vnd.openxmlformats-officedocument.spreadsheetml.chartsheet+xml"/>
  <Override PartName="/xl/chartsheets/sheet163.xml" ContentType="application/vnd.openxmlformats-officedocument.spreadsheetml.chartsheet+xml"/>
  <Override PartName="/xl/drawings/drawing12.xml" ContentType="application/vnd.openxmlformats-officedocument.drawing+xml"/>
  <Override PartName="/xl/charts/chart44.xml" ContentType="application/vnd.openxmlformats-officedocument.drawingml.chart+xml"/>
  <Override PartName="/xl/drawings/drawing130.xml" ContentType="application/vnd.openxmlformats-officedocument.drawingml.chartshapes+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drawings/drawing228.xml" ContentType="application/vnd.openxmlformats-officedocument.drawingml.chartshapes+xml"/>
  <Override PartName="/xl/chartsheets/sheet68.xml" ContentType="application/vnd.openxmlformats-officedocument.spreadsheetml.chartsheet+xml"/>
  <Override PartName="/xl/chartsheets/sheet141.xml" ContentType="application/vnd.openxmlformats-officedocument.spreadsheetml.chartsheet+xml"/>
  <Override PartName="/xl/charts/chart33.xml" ContentType="application/vnd.openxmlformats-officedocument.drawingml.chart+xml"/>
  <Override PartName="/xl/charts/chart80.xml" ContentType="application/vnd.openxmlformats-officedocument.drawingml.chart+xml"/>
  <Override PartName="/xl/drawings/drawing206.xml" ContentType="application/vnd.openxmlformats-officedocument.drawing+xml"/>
  <Override PartName="/xl/drawings/drawing217.xml" ContentType="application/vnd.openxmlformats-officedocument.drawing+xml"/>
  <Override PartName="/xl/drawings/drawing253.xml" ContentType="application/vnd.openxmlformats-officedocument.drawingml.chartshapes+xml"/>
  <Override PartName="/xl/drawings/drawing264.xml" ContentType="application/vnd.openxmlformats-officedocument.drawing+xml"/>
  <Override PartName="/xl/chartsheets/sheet57.xml" ContentType="application/vnd.openxmlformats-officedocument.spreadsheetml.chartsheet+xml"/>
  <Override PartName="/xl/chartsheets/sheet130.xml" ContentType="application/vnd.openxmlformats-officedocument.spreadsheetml.chartsheet+xml"/>
  <Override PartName="/xl/charts/chart11.xml" ContentType="application/vnd.openxmlformats-officedocument.drawingml.chart+xml"/>
  <Override PartName="/xl/charts/chart22.xml" ContentType="application/vnd.openxmlformats-officedocument.drawingml.chart+xml"/>
  <Override PartName="/xl/drawings/drawing242.xml" ContentType="application/vnd.openxmlformats-officedocument.drawingml.chartshapes+xml"/>
  <Override PartName="/xl/worksheets/sheet24.xml" ContentType="application/vnd.openxmlformats-officedocument.spreadsheetml.worksheet+xml"/>
  <Override PartName="/xl/drawings/drawing97.xml" ContentType="application/vnd.openxmlformats-officedocument.drawing+xml"/>
  <Override PartName="/xl/drawings/drawing179.xml" ContentType="application/vnd.openxmlformats-officedocument.drawingml.chartshapes+xml"/>
  <Override PartName="/xl/chartsheets/sheet35.xml" ContentType="application/vnd.openxmlformats-officedocument.spreadsheetml.chartsheet+xml"/>
  <Override PartName="/xl/chartsheets/sheet82.xml" ContentType="application/vnd.openxmlformats-officedocument.spreadsheetml.chartsheet+xml"/>
  <Override PartName="/xl/drawings/drawing157.xml" ContentType="application/vnd.openxmlformats-officedocument.drawing+xml"/>
  <Override PartName="/xl/drawings/drawing220.xml" ContentType="application/vnd.openxmlformats-officedocument.drawingml.chartshapes+xml"/>
  <Override PartName="/xl/charts/chart178.xml" ContentType="application/vnd.openxmlformats-officedocument.drawingml.chart+xml"/>
  <Override PartName="/xl/chartsheets/sheet13.xml" ContentType="application/vnd.openxmlformats-officedocument.spreadsheetml.chartsheet+xml"/>
  <Override PartName="/xl/chartsheets/sheet60.xml" ContentType="application/vnd.openxmlformats-officedocument.spreadsheetml.chartsheet+xml"/>
  <Override PartName="/xl/drawings/drawing28.xml" ContentType="application/vnd.openxmlformats-officedocument.drawing+xml"/>
  <Override PartName="/xl/drawings/drawing75.xml" ContentType="application/vnd.openxmlformats-officedocument.drawing+xml"/>
  <Override PartName="/xl/charts/chart109.xml" ContentType="application/vnd.openxmlformats-officedocument.drawingml.chart+xml"/>
  <Override PartName="/xl/charts/chart156.xml" ContentType="application/vnd.openxmlformats-officedocument.drawingml.chart+xml"/>
  <Override PartName="/xl/chartsheets/sheet157.xml" ContentType="application/vnd.openxmlformats-officedocument.spreadsheetml.chartsheet+xml"/>
  <Override PartName="/xl/drawings/drawing2.xml" ContentType="application/vnd.openxmlformats-officedocument.drawingml.chartshapes+xml"/>
  <Override PartName="/xl/drawings/drawing53.xml" ContentType="application/vnd.openxmlformats-officedocument.drawing+xml"/>
  <Override PartName="/xl/charts/chart49.xml" ContentType="application/vnd.openxmlformats-officedocument.drawingml.chart+xml"/>
  <Override PartName="/xl/drawings/drawing135.xml" ContentType="application/vnd.openxmlformats-officedocument.drawing+xml"/>
  <Override PartName="/xl/charts/chart96.xml" ContentType="application/vnd.openxmlformats-officedocument.drawingml.chart+xml"/>
  <Override PartName="/xl/drawings/drawing182.xml" ContentType="application/vnd.openxmlformats-officedocument.drawing+xml"/>
  <Override PartName="/xl/worksheets/sheet3.xml" ContentType="application/vnd.openxmlformats-officedocument.spreadsheetml.worksheet+xml"/>
  <Override PartName="/xl/chartsheets/sheet135.xml" ContentType="application/vnd.openxmlformats-officedocument.spreadsheetml.chartsheet+xml"/>
  <Override PartName="/xl/charts/chart27.xml" ContentType="application/vnd.openxmlformats-officedocument.drawingml.chart+xml"/>
  <Override PartName="/xl/drawings/drawing113.xml" ContentType="application/vnd.openxmlformats-officedocument.drawing+xml"/>
  <Override PartName="/xl/charts/chart74.xml" ContentType="application/vnd.openxmlformats-officedocument.drawingml.chart+xml"/>
  <Override PartName="/xl/drawings/drawing160.xml" ContentType="application/vnd.openxmlformats-officedocument.drawing+xml"/>
  <Override PartName="/xl/charts/chart134.xml" ContentType="application/vnd.openxmlformats-officedocument.drawingml.chart+xml"/>
  <Override PartName="/xl/drawings/drawing258.xml" ContentType="application/vnd.openxmlformats-officedocument.drawing+xml"/>
  <Override PartName="/xl/charts/chart181.xml" ContentType="application/vnd.openxmlformats-officedocument.drawingml.chart+xml"/>
  <Override PartName="/xl/chartsheets/sheet98.xml" ContentType="application/vnd.openxmlformats-officedocument.spreadsheetml.chartsheet+xml"/>
  <Override PartName="/xl/drawings/drawing31.xml" ContentType="application/vnd.openxmlformats-officedocument.drawing+xml"/>
  <Override PartName="/xl/charts/chart112.xml" ContentType="application/vnd.openxmlformats-officedocument.drawingml.chart+xml"/>
  <Override PartName="/xl/chartsheets/sheet113.xml" ContentType="application/vnd.openxmlformats-officedocument.spreadsheetml.chartsheet+xml"/>
  <Override PartName="/xl/chartsheets/sheet160.xml" ContentType="application/vnd.openxmlformats-officedocument.spreadsheetml.chartsheet+xml"/>
  <Override PartName="/xl/charts/chart52.xml" ContentType="application/vnd.openxmlformats-officedocument.drawingml.chart+xml"/>
  <Override PartName="/xl/drawings/drawing236.xml" ContentType="application/vnd.openxmlformats-officedocument.drawingml.chartshapes+xml"/>
  <Override PartName="/xl/chartsheets/sheet29.xml" ContentType="application/vnd.openxmlformats-officedocument.spreadsheetml.chartsheet+xml"/>
  <Override PartName="/xl/worksheets/sheet18.xml" ContentType="application/vnd.openxmlformats-officedocument.spreadsheetml.worksheet+xml"/>
  <Override PartName="/xl/chartsheets/sheet76.xml" ContentType="application/vnd.openxmlformats-officedocument.spreadsheetml.chartsheet+xml"/>
  <Override PartName="/xl/charts/chart9.xml" ContentType="application/vnd.openxmlformats-officedocument.drawingml.chart+xml"/>
  <Override PartName="/xl/charts/chart30.xml" ContentType="application/vnd.openxmlformats-officedocument.drawingml.chart+xml"/>
  <Override PartName="/xl/drawings/drawing214.xml" ContentType="application/vnd.openxmlformats-officedocument.drawingml.chartshapes+xml"/>
  <Override PartName="/xl/drawings/drawing261.xml" ContentType="application/vnd.openxmlformats-officedocument.drawing+xml"/>
  <Override PartName="/xl/chartsheets/sheet54.xml" ContentType="application/vnd.openxmlformats-officedocument.spreadsheetml.chartsheet+xml"/>
  <Override PartName="/xl/worksheets/sheet43.xml" ContentType="application/vnd.openxmlformats-officedocument.spreadsheetml.worksheet+xml"/>
  <Override PartName="/xl/drawings/drawing69.xml" ContentType="application/vnd.openxmlformats-officedocument.drawingml.chartshapes+xml"/>
  <Override PartName="/xl/drawings/drawing198.xml" ContentType="application/vnd.openxmlformats-officedocument.drawingml.chartshapes+xml"/>
  <Override PartName="/xl/drawings/drawing129.xml" ContentType="application/vnd.openxmlformats-officedocument.drawing+xml"/>
  <Override PartName="/xl/drawings/drawing176.xml" ContentType="application/vnd.openxmlformats-officedocument.drawing+xml"/>
  <Override PartName="/xl/worksheets/sheet21.xml" ContentType="application/vnd.openxmlformats-officedocument.spreadsheetml.worksheet+xml"/>
  <Override PartName="/xl/chartsheets/sheet32.xml" ContentType="application/vnd.openxmlformats-officedocument.spreadsheetml.chartsheet+xml"/>
  <Override PartName="/xl/drawings/drawing47.xml" ContentType="application/vnd.openxmlformats-officedocument.drawing+xml"/>
  <Override PartName="/xl/drawings/drawing94.xml" ContentType="application/vnd.openxmlformats-officedocument.drawing+xml"/>
  <Override PartName="/xl/charts/chart128.xml" ContentType="application/vnd.openxmlformats-officedocument.drawingml.chart+xml"/>
  <Override PartName="/xl/charts/chart175.xml" ContentType="application/vnd.openxmlformats-officedocument.drawingml.chart+xml"/>
  <Override PartName="/xl/chartsheets/sheet9.xml" ContentType="application/vnd.openxmlformats-officedocument.spreadsheetml.chartsheet+xml"/>
  <Override PartName="/xl/chartsheets/sheet129.xml" ContentType="application/vnd.openxmlformats-officedocument.spreadsheetml.chartsheet+xml"/>
  <Override PartName="/xl/chartsheets/sheet176.xml" ContentType="application/vnd.openxmlformats-officedocument.spreadsheetml.chartsheet+xml"/>
  <Override PartName="/xl/drawings/drawing25.xml" ContentType="application/vnd.openxmlformats-officedocument.drawing+xml"/>
  <Override PartName="/xl/drawings/drawing72.xml" ContentType="application/vnd.openxmlformats-officedocument.drawing+xml"/>
  <Override PartName="/xl/comments5.xml" ContentType="application/vnd.openxmlformats-officedocument.spreadsheetml.comments+xml"/>
  <Override PartName="/xl/charts/chart68.xml" ContentType="application/vnd.openxmlformats-officedocument.drawingml.chart+xml"/>
  <Override PartName="/xl/drawings/drawing107.xml" ContentType="application/vnd.openxmlformats-officedocument.drawing+xml"/>
  <Override PartName="/xl/drawings/drawing154.xml" ContentType="application/vnd.openxmlformats-officedocument.drawingml.chartshapes+xml"/>
  <Override PartName="/docProps/app.xml" ContentType="application/vnd.openxmlformats-officedocument.extended-properties+xml"/>
  <Override PartName="/xl/chartsheets/sheet10.xml" ContentType="application/vnd.openxmlformats-officedocument.spreadsheetml.chartsheet+xml"/>
  <Override PartName="/xl/chartsheets/sheet107.xml" ContentType="application/vnd.openxmlformats-officedocument.spreadsheetml.chartsheet+xml"/>
  <Override PartName="/xl/chartsheets/sheet154.xml" ContentType="application/vnd.openxmlformats-officedocument.spreadsheetml.chartsheet+xml"/>
  <Override PartName="/xl/charts/chart46.xml" ContentType="application/vnd.openxmlformats-officedocument.drawingml.chart+xml"/>
  <Override PartName="/xl/drawings/drawing132.xml" ContentType="application/vnd.openxmlformats-officedocument.drawingml.chartshapes+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drawings/drawing50.xml" ContentType="application/vnd.openxmlformats-officedocument.drawing+xml"/>
  <Override PartName="/xl/charts/chart131.xml" ContentType="application/vnd.openxmlformats-officedocument.drawingml.chart+xml"/>
  <Override PartName="/xl/drawings/drawing208.xml" ContentType="application/vnd.openxmlformats-officedocument.drawing+xml"/>
  <Override PartName="/xl/drawings/drawing255.xml" ContentType="application/vnd.openxmlformats-officedocument.drawing+xml"/>
  <Override PartName="/xl/chartsheets/sheet132.xml" ContentType="application/vnd.openxmlformats-officedocument.spreadsheetml.chartsheet+xml"/>
  <Override PartName="/xl/charts/chart24.xml" ContentType="application/vnd.openxmlformats-officedocument.drawingml.chart+xml"/>
  <Override PartName="/xl/charts/chart71.xml" ContentType="application/vnd.openxmlformats-officedocument.drawingml.chart+xml"/>
  <Override PartName="/xl/drawings/drawing110.xml" ContentType="application/vnd.openxmlformats-officedocument.drawingml.chartshapes+xml"/>
  <Override PartName="/xl/chartsheets/sheet48.xml" ContentType="application/vnd.openxmlformats-officedocument.spreadsheetml.chartsheet+xml"/>
  <Override PartName="/xl/chartsheets/sheet95.xml" ContentType="application/vnd.openxmlformats-officedocument.spreadsheetml.chartsheet+xml"/>
  <Override PartName="/xl/chartsheets/sheet110.xml" ContentType="application/vnd.openxmlformats-officedocument.spreadsheetml.chartsheet+xml"/>
  <Override PartName="/xl/worksheets/sheet37.xml" ContentType="application/vnd.openxmlformats-officedocument.spreadsheetml.worksheet+xml"/>
  <Override PartName="/xl/drawings/drawing233.xml" ContentType="application/vnd.openxmlformats-officedocument.drawing+xml"/>
  <Override PartName="/xl/chartsheets/sheet26.xml" ContentType="application/vnd.openxmlformats-officedocument.spreadsheetml.chartsheet+xml"/>
  <Override PartName="/xl/worksheets/sheet15.xml" ContentType="application/vnd.openxmlformats-officedocument.spreadsheetml.worksheet+xml"/>
  <Override PartName="/xl/chartsheets/sheet73.xml" ContentType="application/vnd.openxmlformats-officedocument.spreadsheetml.chartsheet+xml"/>
  <Override PartName="/xl/charts/chart6.xml" ContentType="application/vnd.openxmlformats-officedocument.drawingml.chart+xml"/>
  <Override PartName="/xl/drawings/drawing88.xml" ContentType="application/vnd.openxmlformats-officedocument.drawingml.chartshapes+xml"/>
  <Override PartName="/xl/drawings/drawing211.xml" ContentType="application/vnd.openxmlformats-officedocument.drawing+xml"/>
  <Override PartName="/xl/drawings/drawing19.xml" ContentType="application/vnd.openxmlformats-officedocument.drawingml.chartshapes+xml"/>
  <Override PartName="/xl/drawings/drawing66.xml" ContentType="application/vnd.openxmlformats-officedocument.drawing+xml"/>
  <Override PartName="/xl/drawings/drawing148.xml" ContentType="application/vnd.openxmlformats-officedocument.drawingml.chartshapes+xml"/>
  <Override PartName="/xl/drawings/drawing195.xml" ContentType="application/vnd.openxmlformats-officedocument.drawing+xml"/>
  <Override PartName="/xl/charts/chart169.xml" ContentType="application/vnd.openxmlformats-officedocument.drawingml.chart+xml"/>
  <Override PartName="/xl/chartsheets/sheet51.xml" ContentType="application/vnd.openxmlformats-officedocument.spreadsheetml.chartsheet+xml"/>
  <Override PartName="/xl/worksheets/sheet40.xml" ContentType="application/vnd.openxmlformats-officedocument.spreadsheetml.worksheet+xml"/>
  <Override PartName="/xl/charts/chart147.xml" ContentType="application/vnd.openxmlformats-officedocument.drawingml.chart+xml"/>
  <Override PartName="/xl/chartsheets/sheet148.xml" ContentType="application/vnd.openxmlformats-officedocument.spreadsheetml.chartsheet+xml"/>
  <Override PartName="/xl/drawings/drawing44.xml" ContentType="application/vnd.openxmlformats-officedocument.drawingml.chartshapes+xml"/>
  <Override PartName="/xl/drawings/drawing91.xml" ContentType="application/vnd.openxmlformats-officedocument.drawing+xml"/>
  <Override PartName="/xl/drawings/drawing126.xml" ContentType="application/vnd.openxmlformats-officedocument.drawing+xml"/>
  <Override PartName="/xl/charts/chart87.xml" ContentType="application/vnd.openxmlformats-officedocument.drawingml.chart+xml"/>
  <Override PartName="/xl/drawings/drawing173.xml" ContentType="application/vnd.openxmlformats-officedocument.drawingml.chartshapes+xml"/>
  <Override PartName="/xl/chartsheets/sheet6.xml" ContentType="application/vnd.openxmlformats-officedocument.spreadsheetml.chartsheet+xml"/>
  <Override PartName="/xl/chartsheets/sheet126.xml" ContentType="application/vnd.openxmlformats-officedocument.spreadsheetml.chartsheet+xml"/>
  <Override PartName="/xl/chartsheets/sheet173.xml" ContentType="application/vnd.openxmlformats-officedocument.spreadsheetml.chartsheet+xml"/>
  <Override PartName="/xl/drawings/drawing22.xml" ContentType="application/vnd.openxmlformats-officedocument.drawing+xml"/>
  <Override PartName="/xl/charts/chart18.xml" ContentType="application/vnd.openxmlformats-officedocument.drawingml.chart+xml"/>
  <Override PartName="/xl/comments2.xml" ContentType="application/vnd.openxmlformats-officedocument.spreadsheetml.comments+xml"/>
  <Override PartName="/xl/charts/chart65.xml" ContentType="application/vnd.openxmlformats-officedocument.drawingml.chart+xml"/>
  <Override PartName="/xl/drawings/drawing104.xml" ContentType="application/vnd.openxmlformats-officedocument.drawingml.chartshapes+xml"/>
  <Override PartName="/xl/drawings/drawing151.xml" ContentType="application/vnd.openxmlformats-officedocument.drawing+xml"/>
  <Override PartName="/xl/charts/chart125.xml" ContentType="application/vnd.openxmlformats-officedocument.drawingml.chart+xml"/>
  <Override PartName="/xl/drawings/drawing249.xml" ContentType="application/vnd.openxmlformats-officedocument.drawing+xml"/>
  <Override PartName="/xl/charts/chart172.xml" ContentType="application/vnd.openxmlformats-officedocument.drawingml.chart+xml"/>
  <Override PartName="/xl/chartsheets/sheet89.xml" ContentType="application/vnd.openxmlformats-officedocument.spreadsheetml.chartsheet+xml"/>
  <Override PartName="/xl/charts/chart103.xml" ContentType="application/vnd.openxmlformats-officedocument.drawingml.chart+xml"/>
  <Override PartName="/xl/charts/chart150.xml" ContentType="application/vnd.openxmlformats-officedocument.drawingml.chart+xml"/>
  <Override PartName="/xl/drawings/drawing227.xml" ContentType="application/vnd.openxmlformats-officedocument.drawing+xml"/>
  <Override PartName="/xl/chartsheets/sheet104.xml" ContentType="application/vnd.openxmlformats-officedocument.spreadsheetml.chartsheet+xml"/>
  <Override PartName="/xl/chartsheets/sheet151.xml" ContentType="application/vnd.openxmlformats-officedocument.spreadsheetml.chartsheet+xml"/>
  <Override PartName="/xl/charts/chart43.xml" ContentType="application/vnd.openxmlformats-officedocument.drawingml.chart+xml"/>
  <Override PartName="/xl/charts/chart90.xml" ContentType="application/vnd.openxmlformats-officedocument.drawingml.chart+xml"/>
  <Override PartName="/xl/chartsheets/sheet67.xml" ContentType="application/vnd.openxmlformats-officedocument.spreadsheetml.chartsheet+xml"/>
  <Override PartName="/xl/charts/chart21.xml" ContentType="application/vnd.openxmlformats-officedocument.drawingml.chart+xml"/>
  <Override PartName="/xl/drawings/drawing189.xml" ContentType="application/vnd.openxmlformats-officedocument.drawing+xml"/>
  <Override PartName="/xl/drawings/drawing205.xml" ContentType="application/vnd.openxmlformats-officedocument.drawing+xml"/>
  <Override PartName="/xl/drawings/drawing252.xml" ContentType="application/vnd.openxmlformats-officedocument.drawing+xml"/>
  <Override PartName="/xl/chartsheets/sheet45.xml" ContentType="application/vnd.openxmlformats-officedocument.spreadsheetml.chartsheet+xml"/>
  <Override PartName="/xl/chartsheets/sheet92.xml" ContentType="application/vnd.openxmlformats-officedocument.spreadsheetml.chartsheet+xml"/>
  <Override PartName="/xl/worksheets/sheet34.xml" ContentType="application/vnd.openxmlformats-officedocument.spreadsheetml.worksheet+xml"/>
  <Override PartName="/xl/drawings/drawing9.xml" ContentType="application/vnd.openxmlformats-officedocument.drawingml.chartshapes+xml"/>
  <Override PartName="/xl/drawings/drawing230.xml" ContentType="application/vnd.openxmlformats-officedocument.drawingml.chartshapes+xml"/>
  <Override PartName="/xl/drawings/drawing38.xml" ContentType="application/vnd.openxmlformats-officedocument.drawingml.chartshapes+xml"/>
  <Override PartName="/xl/drawings/drawing85.xml" ContentType="application/vnd.openxmlformats-officedocument.drawing+xml"/>
  <Override PartName="/xl/drawings/drawing167.xml" ContentType="application/vnd.openxmlformats-officedocument.drawing+xml"/>
  <Override PartName="/xl/chartsheets/sheet23.xml" ContentType="application/vnd.openxmlformats-officedocument.spreadsheetml.chartsheet+xml"/>
  <Override PartName="/xl/worksheets/sheet12.xml" ContentType="application/vnd.openxmlformats-officedocument.spreadsheetml.worksheet+xml"/>
  <Override PartName="/xl/chartsheets/sheet70.xml" ContentType="application/vnd.openxmlformats-officedocument.spreadsheetml.chart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chartsheets/sheet167.xml" ContentType="application/vnd.openxmlformats-officedocument.spreadsheetml.chartsheet+xml"/>
  <Override PartName="/xl/drawings/drawing16.xml" ContentType="application/vnd.openxmlformats-officedocument.drawing+xml"/>
  <Override PartName="/xl/drawings/drawing63.xml" ContentType="application/vnd.openxmlformats-officedocument.drawingml.chartshapes+xml"/>
  <Override PartName="/xl/drawings/drawing145.xml" ContentType="application/vnd.openxmlformats-officedocument.drawing+xml"/>
  <Override PartName="/xl/drawings/drawing192.xml" ContentType="application/vnd.openxmlformats-officedocument.drawingml.chartshapes+xml"/>
  <Override PartName="/xl/chartsheets/sheet145.xml" ContentType="application/vnd.openxmlformats-officedocument.spreadsheetml.chartsheet+xml"/>
  <Override PartName="/xl/drawings/drawing41.xml" ContentType="application/vnd.openxmlformats-officedocument.drawing+xml"/>
  <Override PartName="/xl/charts/chart37.xml" ContentType="application/vnd.openxmlformats-officedocument.drawingml.chart+xml"/>
  <Override PartName="/xl/drawings/drawing123.xml" ContentType="application/vnd.openxmlformats-officedocument.drawingml.chartshapes+xml"/>
  <Override PartName="/xl/charts/chart84.xml" ContentType="application/vnd.openxmlformats-officedocument.drawingml.chart+xml"/>
  <Override PartName="/xl/drawings/drawing170.xml" ContentType="application/vnd.openxmlformats-officedocument.drawing+xml"/>
  <Override PartName="/xl/charts/chart144.xml" ContentType="application/vnd.openxmlformats-officedocument.drawingml.chart+xml"/>
  <Override PartName="/xl/charts/chart122.xml" ContentType="application/vnd.openxmlformats-officedocument.drawingml.chart+xml"/>
  <Override PartName="/xl/drawings/drawing246.xml" ContentType="application/vnd.openxmlformats-officedocument.drawing+xml"/>
  <Override PartName="/xl/chartsheets/sheet3.xml" ContentType="application/vnd.openxmlformats-officedocument.spreadsheetml.chartsheet+xml"/>
  <Override PartName="/xl/worksheets/sheet28.xml" ContentType="application/vnd.openxmlformats-officedocument.spreadsheetml.worksheet+xml"/>
  <Override PartName="/xl/chartsheets/sheet123.xml" ContentType="application/vnd.openxmlformats-officedocument.spreadsheetml.chartsheet+xml"/>
  <Override PartName="/xl/chartsheets/sheet170.xml" ContentType="application/vnd.openxmlformats-officedocument.spreadsheetml.chartsheet+xml"/>
  <Override PartName="/xl/charts/chart15.xml" ContentType="application/vnd.openxmlformats-officedocument.drawingml.chart+xml"/>
  <Override PartName="/xl/charts/chart62.xml" ContentType="application/vnd.openxmlformats-officedocument.drawingml.chart+xml"/>
  <Override PartName="/xl/drawings/drawing101.xml" ContentType="application/vnd.openxmlformats-officedocument.drawing+xml"/>
  <Override PartName="/xl/chartsheets/sheet39.xml" ContentType="application/vnd.openxmlformats-officedocument.spreadsheetml.chartsheet+xml"/>
  <Override PartName="/xl/chartsheets/sheet86.xml" ContentType="application/vnd.openxmlformats-officedocument.spreadsheetml.chartsheet+xml"/>
  <Override PartName="/xl/chartsheets/sheet101.xml" ContentType="application/vnd.openxmlformats-officedocument.spreadsheetml.chartsheet+xml"/>
  <Override PartName="/xl/charts/chart40.xml" ContentType="application/vnd.openxmlformats-officedocument.drawingml.chart+xml"/>
  <Override PartName="/xl/charts/chart100.xml" ContentType="application/vnd.openxmlformats-officedocument.drawingml.chart+xml"/>
  <Override PartName="/xl/drawings/drawing224.xml" ContentType="application/vnd.openxmlformats-officedocument.drawing+xml"/>
  <Override PartName="/xl/chartsheets/sheet17.xml" ContentType="application/vnd.openxmlformats-officedocument.spreadsheetml.chartsheet+xml"/>
  <Override PartName="/xl/chartsheets/sheet64.xml" ContentType="application/vnd.openxmlformats-officedocument.spreadsheetml.chartsheet+xml"/>
  <Override PartName="/xl/drawings/drawing79.xml" ContentType="application/vnd.openxmlformats-officedocument.drawing+xml"/>
  <Override PartName="/xl/drawings/drawing202.xml" ContentType="application/vnd.openxmlformats-officedocument.drawing+xml"/>
  <Override PartName="/xl/drawings/drawing6.xml" ContentType="application/vnd.openxmlformats-officedocument.drawing+xml"/>
  <Override PartName="/xl/drawings/drawing57.xml" ContentType="application/vnd.openxmlformats-officedocument.drawing+xml"/>
  <Override PartName="/xl/drawings/drawing139.xml" ContentType="application/vnd.openxmlformats-officedocument.drawing+xml"/>
  <Override PartName="/xl/drawings/drawing186.xml" ContentType="application/vnd.openxmlformats-officedocument.drawing+xml"/>
  <Override PartName="/xl/worksheets/sheet7.xml" ContentType="application/vnd.openxmlformats-officedocument.spreadsheetml.worksheet+xml"/>
  <Override PartName="/xl/chartsheets/sheet42.xml" ContentType="application/vnd.openxmlformats-officedocument.spreadsheetml.chartsheet+xml"/>
  <Override PartName="/xl/worksheets/sheet31.xml" ContentType="application/vnd.openxmlformats-officedocument.spreadsheetml.worksheet+xml"/>
  <Override PartName="/xl/chartsheets/sheet139.xml" ContentType="application/vnd.openxmlformats-officedocument.spreadsheetml.chartsheet+xml"/>
  <Override PartName="/xl/drawings/drawing117.xml" ContentType="application/vnd.openxmlformats-officedocument.drawing+xml"/>
  <Override PartName="/xl/charts/chart78.xml" ContentType="application/vnd.openxmlformats-officedocument.drawingml.chart+xml"/>
  <Override PartName="/xl/drawings/drawing164.xml" ContentType="application/vnd.openxmlformats-officedocument.drawingml.chartshapes+xml"/>
  <Override PartName="/xl/charts/chart138.xml" ContentType="application/vnd.openxmlformats-officedocument.drawingml.chart+xml"/>
  <Override PartName="/xl/charts/chart185.xml" ContentType="application/vnd.openxmlformats-officedocument.drawingml.chart+xml"/>
  <Override PartName="/xl/chartsheets/sheet20.xml" ContentType="application/vnd.openxmlformats-officedocument.spreadsheetml.chartsheet+xml"/>
  <Override PartName="/xl/drawings/drawing35.xml" ContentType="application/vnd.openxmlformats-officedocument.drawing+xml"/>
  <Override PartName="/xl/drawings/drawing82.xml" ContentType="application/vnd.openxmlformats-officedocument.drawingml.chartshapes+xml"/>
  <Override PartName="/xl/charts/chart116.xml" ContentType="application/vnd.openxmlformats-officedocument.drawingml.chart+xml"/>
  <Override PartName="/xl/charts/chart163.xml" ContentType="application/vnd.openxmlformats-officedocument.drawingml.chart+xml"/>
  <Override PartName="/xl/chartsheets/sheet117.xml" ContentType="application/vnd.openxmlformats-officedocument.spreadsheetml.chartsheet+xml"/>
  <Override PartName="/xl/chartsheets/sheet164.xml" ContentType="application/vnd.openxmlformats-officedocument.spreadsheetml.chartsheet+xml"/>
  <Override PartName="/xl/drawings/drawing13.xml" ContentType="application/vnd.openxmlformats-officedocument.drawing+xml"/>
  <Override PartName="/xl/drawings/drawing60.xml" ContentType="application/vnd.openxmlformats-officedocument.drawing+xml"/>
  <Override PartName="/xl/charts/chart56.xml" ContentType="application/vnd.openxmlformats-officedocument.drawingml.chart+xml"/>
  <Override PartName="/xl/drawings/drawing142.xml" ContentType="application/vnd.openxmlformats-officedocument.drawing+xml"/>
  <Override PartName="/xl/charts/chart34.xml" ContentType="application/vnd.openxmlformats-officedocument.drawingml.chart+xml"/>
  <Override PartName="/xl/drawings/drawing120.xml" ContentType="application/vnd.openxmlformats-officedocument.drawing+xml"/>
  <Override PartName="/xl/charts/chart81.xml" ContentType="application/vnd.openxmlformats-officedocument.drawingml.chart+xml"/>
  <Override PartName="/xl/charts/chart141.xml" ContentType="application/vnd.openxmlformats-officedocument.drawingml.chart+xml"/>
  <Override PartName="/xl/drawings/drawing218.xml" ContentType="application/vnd.openxmlformats-officedocument.drawingml.chartshapes+xml"/>
  <Override PartName="/xl/drawings/drawing265.xml" ContentType="application/vnd.openxmlformats-officedocument.drawing+xml"/>
  <Override PartName="/xl/chartsheets/sheet142.xml" ContentType="application/vnd.openxmlformats-officedocument.spreadsheetml.chartsheet+xml"/>
  <Override PartName="/xl/sharedStrings.xml" ContentType="application/vnd.openxmlformats-officedocument.spreadsheetml.sharedStrings+xml"/>
  <Override PartName="/xl/chartsheets/sheet58.xml" ContentType="application/vnd.openxmlformats-officedocument.spreadsheetml.chartsheet+xml"/>
  <Override PartName="/xl/chartsheets/sheet120.xml" ContentType="application/vnd.openxmlformats-officedocument.spreadsheetml.chartsheet+xml"/>
  <Override PartName="/xl/charts/chart12.xml" ContentType="application/vnd.openxmlformats-officedocument.drawingml.chart+xml"/>
  <Override PartName="/xl/drawings/drawing243.xml" ContentType="application/vnd.openxmlformats-officedocument.drawing+xml"/>
  <Override PartName="/xl/worksheets/sheet25.xml" ContentType="application/vnd.openxmlformats-officedocument.spreadsheetml.worksheet+xml"/>
  <Override PartName="/xl/chartsheets/sheet36.xml" ContentType="application/vnd.openxmlformats-officedocument.spreadsheetml.chartsheet+xml"/>
  <Override PartName="/xl/chartsheets/sheet83.xml" ContentType="application/vnd.openxmlformats-officedocument.spreadsheetml.chartsheet+xml"/>
  <Override PartName="/xl/drawings/drawing98.xml" ContentType="application/vnd.openxmlformats-officedocument.drawingml.chartshapes+xml"/>
  <Override PartName="/xl/drawings/drawing221.xml" ContentType="application/vnd.openxmlformats-officedocument.drawing+xml"/>
  <Override PartName="/xl/charts/chart179.xml" ContentType="application/vnd.openxmlformats-officedocument.drawingml.chart+xml"/>
  <Override PartName="/xl/drawings/drawing29.xml" ContentType="application/vnd.openxmlformats-officedocument.drawing+xml"/>
  <Override PartName="/xl/drawings/drawing76.xml" ContentType="application/vnd.openxmlformats-officedocument.drawing+xml"/>
  <Override PartName="/xl/drawings/drawing158.xml" ContentType="application/vnd.openxmlformats-officedocument.drawingml.chartshapes+xml"/>
  <Override PartName="/xl/chartsheets/sheet14.xml" ContentType="application/vnd.openxmlformats-officedocument.spreadsheetml.chartsheet+xml"/>
  <Override PartName="/xl/chartsheets/sheet61.xml" ContentType="application/vnd.openxmlformats-officedocument.spreadsheetml.chartsheet+xml"/>
  <Override PartName="/xl/chartsheets/sheet158.xml" ContentType="application/vnd.openxmlformats-officedocument.spreadsheetml.chartsheet+xml"/>
  <Override PartName="/xl/drawings/drawing136.xml" ContentType="application/vnd.openxmlformats-officedocument.drawingml.chartshapes+xml"/>
  <Override PartName="/xl/charts/chart97.xml" ContentType="application/vnd.openxmlformats-officedocument.drawingml.chart+xml"/>
  <Override PartName="/xl/drawings/drawing183.xml" ContentType="application/vnd.openxmlformats-officedocument.drawing+xml"/>
  <Override PartName="/xl/charts/chart15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drawings/drawing54.xml" ContentType="application/vnd.openxmlformats-officedocument.drawing+xml"/>
  <Override PartName="/xl/charts/chart135.xml" ContentType="application/vnd.openxmlformats-officedocument.drawingml.chart+xml"/>
  <Override PartName="/xl/charts/chart182.xml" ContentType="application/vnd.openxmlformats-officedocument.drawingml.chart+xml"/>
  <Override PartName="/xl/chartsheets/sheet136.xml" ContentType="application/vnd.openxmlformats-officedocument.spreadsheetml.chartsheet+xml"/>
  <Override PartName="/xl/drawings/drawing32.xml" ContentType="application/vnd.openxmlformats-officedocument.drawingml.chartshapes+xml"/>
  <Override PartName="/xl/charts/chart28.xml" ContentType="application/vnd.openxmlformats-officedocument.drawingml.chart+xml"/>
  <Override PartName="/xl/drawings/drawing114.xml" ContentType="application/vnd.openxmlformats-officedocument.drawingml.chartshapes+xml"/>
  <Override PartName="/xl/charts/chart75.xml" ContentType="application/vnd.openxmlformats-officedocument.drawingml.chart+xml"/>
  <Override PartName="/xl/drawings/drawing161.xml" ContentType="application/vnd.openxmlformats-officedocument.drawing+xml"/>
  <Override PartName="/xl/drawings/drawing259.xml" ContentType="application/vnd.openxmlformats-officedocument.drawing+xml"/>
  <Override PartName="/xl/chartsheets/sheet99.xml" ContentType="application/vnd.openxmlformats-officedocument.spreadsheetml.chartsheet+xml"/>
  <Override PartName="/xl/chartsheets/sheet114.xml" ContentType="application/vnd.openxmlformats-officedocument.spreadsheetml.chartsheet+xml"/>
  <Override PartName="/xl/chartsheets/sheet161.xml" ContentType="application/vnd.openxmlformats-officedocument.spreadsheetml.chartsheet+xml"/>
  <Default Extension="vml" ContentType="application/vnd.openxmlformats-officedocument.vmlDrawing"/>
  <Override PartName="/xl/charts/chart53.xml" ContentType="application/vnd.openxmlformats-officedocument.drawingml.chart+xml"/>
  <Override PartName="/xl/charts/chart113.xml" ContentType="application/vnd.openxmlformats-officedocument.drawingml.chart+xml"/>
  <Override PartName="/xl/drawings/drawing237.xml" ContentType="application/vnd.openxmlformats-officedocument.drawing+xml"/>
  <Override PartName="/xl/charts/chart160.xml" ContentType="application/vnd.openxmlformats-officedocument.drawingml.chart+xml"/>
  <Override PartName="/xl/worksheets/sheet19.xml" ContentType="application/vnd.openxmlformats-officedocument.spreadsheetml.worksheet+xml"/>
  <Override PartName="/xl/chartsheets/sheet77.xml" ContentType="application/vnd.openxmlformats-officedocument.spreadsheetml.chartsheet+xml"/>
  <Override PartName="/xl/drawings/drawing10.xml" ContentType="application/vnd.openxmlformats-officedocument.drawing+xml"/>
  <Override PartName="/xl/charts/chart31.xml" ContentType="application/vnd.openxmlformats-officedocument.drawingml.chart+xml"/>
  <Override PartName="/xl/drawings/drawing199.xml" ContentType="application/vnd.openxmlformats-officedocument.drawing+xml"/>
  <Override PartName="/xl/drawings/drawing215.xml" ContentType="application/vnd.openxmlformats-officedocument.drawing+xml"/>
  <Override PartName="/xl/drawings/drawing262.xml" ContentType="application/vnd.openxmlformats-officedocument.drawing+xml"/>
  <Override PartName="/docProps/core.xml" ContentType="application/vnd.openxmlformats-package.core-properties+xml"/>
  <Override PartName="/xl/chartsheets/sheet55.xml" ContentType="application/vnd.openxmlformats-officedocument.spreadsheetml.chartsheet+xml"/>
  <Override PartName="/xl/worksheets/sheet44.xml" ContentType="application/vnd.openxmlformats-officedocument.spreadsheetml.worksheet+xml"/>
  <Override PartName="/xl/drawings/drawing240.xml" ContentType="application/vnd.openxmlformats-officedocument.drawingml.chartshapes+xml"/>
  <Override PartName="/xl/worksheets/sheet22.xml" ContentType="application/vnd.openxmlformats-officedocument.spreadsheetml.worksheet+xml"/>
  <Override PartName="/xl/chartsheets/sheet33.xml" ContentType="application/vnd.openxmlformats-officedocument.spreadsheetml.chartsheet+xml"/>
  <Override PartName="/xl/drawings/drawing48.xml" ContentType="application/vnd.openxmlformats-officedocument.drawingml.chartshapes+xml"/>
  <Override PartName="/xl/drawings/drawing95.xml" ContentType="application/vnd.openxmlformats-officedocument.drawing+xml"/>
  <Override PartName="/xl/drawings/drawing177.xml" ContentType="application/vnd.openxmlformats-officedocument.drawingml.chartshapes+xml"/>
  <Override PartName="/xl/chartsheets/sheet80.xml" ContentType="application/vnd.openxmlformats-officedocument.spreadsheetml.chartsheet+xml"/>
  <Override PartName="/xl/chartsheets/sheet177.xml" ContentType="application/vnd.openxmlformats-officedocument.spreadsheetml.chartsheet+xml"/>
  <Override PartName="/xl/charts/chart69.xml" ContentType="application/vnd.openxmlformats-officedocument.drawingml.chart+xml"/>
  <Override PartName="/xl/drawings/drawing108.xml" ContentType="application/vnd.openxmlformats-officedocument.drawingml.chartshapes+xml"/>
  <Override PartName="/xl/drawings/drawing155.xml" ContentType="application/vnd.openxmlformats-officedocument.drawing+xml"/>
  <Override PartName="/xl/charts/chart129.xml" ContentType="application/vnd.openxmlformats-officedocument.drawingml.chart+xml"/>
  <Override PartName="/xl/charts/chart176.xml" ContentType="application/vnd.openxmlformats-officedocument.drawingml.chart+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19020" windowHeight="12660" tabRatio="798"/>
  </bookViews>
  <sheets>
    <sheet name="Introduction" sheetId="285" r:id="rId1"/>
    <sheet name="CANADA TABLE TO 13-14" sheetId="36" r:id="rId2"/>
    <sheet name="CAN 2013 ROLLUP CHART" sheetId="255" r:id="rId3"/>
    <sheet name="CAN PIE 13-14" sheetId="253" r:id="rId4"/>
    <sheet name="CAN pie 11-12" sheetId="194" r:id="rId5"/>
    <sheet name="CAN pie 10-11" sheetId="144" r:id="rId6"/>
    <sheet name="CAN pie 09-10" sheetId="40" r:id="rId7"/>
    <sheet name="CAN pie 08-09 " sheetId="39" r:id="rId8"/>
    <sheet name="CAN pie 05-06 " sheetId="10" r:id="rId9"/>
    <sheet name="CAN 2013 % Change by program" sheetId="195" r:id="rId10"/>
    <sheet name="Canada 2011 chart by pgm" sheetId="145" r:id="rId11"/>
    <sheet name="Rev Canada 2010 chart by pgm" sheetId="52" r:id="rId12"/>
    <sheet name="Can pgm change 3 yrs" sheetId="146" r:id="rId13"/>
    <sheet name="CAN ROLLUP 3 YEARS" sheetId="148" r:id="rId14"/>
    <sheet name="CANADA 2011 ROLLUP CHART" sheetId="147" r:id="rId15"/>
    <sheet name="CANADA 2010 CHART ROLLUP" sheetId="28" r:id="rId16"/>
    <sheet name="CAN Disability detailes 13-14" sheetId="245" r:id="rId17"/>
    <sheet name="CAN Disability details 12-13" sheetId="244" r:id="rId18"/>
    <sheet name="CAN Disability details 11-12" sheetId="191" r:id="rId19"/>
    <sheet name="CAN Disability details 10-11" sheetId="109" r:id="rId20"/>
    <sheet name="CAN Disability details 09-10" sheetId="20" r:id="rId21"/>
    <sheet name="CAN Dis $ details 08-09" sheetId="1" r:id="rId22"/>
    <sheet name="Disability $ details 05-06" sheetId="12" r:id="rId23"/>
    <sheet name="CAN input to 09-10 charts" sheetId="13" r:id="rId24"/>
    <sheet name="CAN total $ 05 &amp; 13" sheetId="279" r:id="rId25"/>
    <sheet name="ON total $ 05 13" sheetId="280" r:id="rId26"/>
    <sheet name="CAN &amp; ON input to 2013-14" sheetId="3" r:id="rId27"/>
    <sheet name="ONT PIE 2013" sheetId="254" r:id="rId28"/>
    <sheet name="ON pie 11-12" sheetId="193" r:id="rId29"/>
    <sheet name="ON pie 10-11" sheetId="149" r:id="rId30"/>
    <sheet name="ONT rev pie 09-10" sheetId="57" r:id="rId31"/>
    <sheet name="ONT rev pie 08-09" sheetId="58" r:id="rId32"/>
    <sheet name="ONT rev pie 05-06" sheetId="59" r:id="rId33"/>
    <sheet name="ONT by program to 2013" sheetId="258" r:id="rId34"/>
    <sheet name="Ont 2011 chart by pgm" sheetId="151" r:id="rId35"/>
    <sheet name="rev ONT 2010 chart by pgm" sheetId="152" r:id="rId36"/>
    <sheet name="Ont pgm 3 yrs" sheetId="242" r:id="rId37"/>
    <sheet name="ONT 2013 rollup" sheetId="198" r:id="rId38"/>
    <sheet name="ONT rollup 3 years" sheetId="153" r:id="rId39"/>
    <sheet name="ONT 2011 rollup" sheetId="150" r:id="rId40"/>
    <sheet name="REV ONT 2010 CHART ROLLUP" sheetId="61" r:id="rId41"/>
    <sheet name="ONT Disability details 13-14" sheetId="251" r:id="rId42"/>
    <sheet name="ONT disability details 12-13" sheetId="250" r:id="rId43"/>
    <sheet name="ONT - ROLLUP CHANGE 2 YEARS" sheetId="256" r:id="rId44"/>
    <sheet name="ONT input 09-10 &amp; 13-14 charts" sheetId="23" r:id="rId45"/>
    <sheet name="ONT TABLE TO 11-12" sheetId="37" r:id="rId46"/>
    <sheet name="Ont Disability details 11-12" sheetId="192" r:id="rId47"/>
    <sheet name="ONT Disability details 10-11" sheetId="111" r:id="rId48"/>
    <sheet name="ONT Disability details 09-10" sheetId="21" r:id="rId49"/>
    <sheet name="ONT DIS $ 2008-09" sheetId="16" r:id="rId50"/>
    <sheet name="ONT DIS $ 2005-06" sheetId="22" r:id="rId51"/>
    <sheet name="SA $ by prov 13-14" sheetId="247" r:id="rId52"/>
    <sheet name="SA $ by prov 12-13" sheetId="246" r:id="rId53"/>
    <sheet name="SA $ by prov 11-12" sheetId="190" r:id="rId54"/>
    <sheet name="SA $ by prov 10-11" sheetId="110" r:id="rId55"/>
    <sheet name="SA $ by prov 09-10" sheetId="19" r:id="rId56"/>
    <sheet name="SA by prov 08-09" sheetId="11" r:id="rId57"/>
    <sheet name="SA by provi 05-06" sheetId="38" r:id="rId58"/>
    <sheet name="SA $ by prov 04-05" sheetId="2" r:id="rId59"/>
    <sheet name="Manitoba" sheetId="43" r:id="rId60"/>
    <sheet name="Man pie 2013" sheetId="265" r:id="rId61"/>
    <sheet name="Man pie 2005" sheetId="266" r:id="rId62"/>
    <sheet name="Man pie 11-12" sheetId="199" r:id="rId63"/>
    <sheet name="Man pie 10-11" sheetId="113" r:id="rId64"/>
    <sheet name="Man pie 09-10" sheetId="47" r:id="rId65"/>
    <sheet name="Man % change 05 to 13" sheetId="201" r:id="rId66"/>
    <sheet name="Man % change 10-11" sheetId="114" r:id="rId67"/>
    <sheet name="Man bar % change by pgm" sheetId="63" r:id="rId68"/>
    <sheet name="Man 3 yrs. by pgm" sheetId="200" r:id="rId69"/>
    <sheet name="Man 2 yrs, by pgm" sheetId="155" r:id="rId70"/>
    <sheet name="Man 3 year rollup" sheetId="202" r:id="rId71"/>
    <sheet name="Man 2 year rollup" sheetId="158" r:id="rId72"/>
    <sheet name="Man rollup 2013" sheetId="115" r:id="rId73"/>
    <sheet name="Man Chart Rollup" sheetId="64" r:id="rId74"/>
    <sheet name="BC total $ 05 13" sheetId="283" r:id="rId75"/>
    <sheet name="BC" sheetId="44" r:id="rId76"/>
    <sheet name="BC pie 2013" sheetId="259" r:id="rId77"/>
    <sheet name="BC pie 2005" sheetId="260" r:id="rId78"/>
    <sheet name="BC pie 11-12" sheetId="203" r:id="rId79"/>
    <sheet name="BC pie 10-11" sheetId="116" r:id="rId80"/>
    <sheet name="BC pie 09-10" sheetId="50" r:id="rId81"/>
    <sheet name="BC % change by pgm 2013" sheetId="205" r:id="rId82"/>
    <sheet name="BC % change 10-11" sheetId="117" r:id="rId83"/>
    <sheet name="BC pgm bar, 3 yrs" sheetId="204" r:id="rId84"/>
    <sheet name="BC rollup 3 yrs" sheetId="206" r:id="rId85"/>
    <sheet name="BC pgm bar, 2 yrs" sheetId="159" r:id="rId86"/>
    <sheet name="BC rollup2 yrs" sheetId="160" r:id="rId87"/>
    <sheet name="BC rollup 2013" sheetId="118" r:id="rId88"/>
    <sheet name="BC Chart Rollup" sheetId="65" r:id="rId89"/>
    <sheet name="Alberta" sheetId="70" r:id="rId90"/>
    <sheet name="AB pie 2013" sheetId="268" r:id="rId91"/>
    <sheet name="AB pie 2005" sheetId="267" r:id="rId92"/>
    <sheet name="AB pie 11-12" sheetId="207" r:id="rId93"/>
    <sheet name="AB pie 10-11" sheetId="119" r:id="rId94"/>
    <sheet name="AB Pie " sheetId="71" state="hidden" r:id="rId95"/>
    <sheet name="AB % change to 2013" sheetId="209" r:id="rId96"/>
    <sheet name="AB % change 10-11" sheetId="120" r:id="rId97"/>
    <sheet name="AB bar % change by program" sheetId="73" r:id="rId98"/>
    <sheet name="AB pgm change 3 yrs" sheetId="208" r:id="rId99"/>
    <sheet name="AB pgm change 2 yrs" sheetId="163" r:id="rId100"/>
    <sheet name="AB rollup 3 yrs" sheetId="210" r:id="rId101"/>
    <sheet name="AB rollup 2 yrs" sheetId="162" r:id="rId102"/>
    <sheet name="AB rollup 2013" sheetId="121" r:id="rId103"/>
    <sheet name="AB chart rollup" sheetId="103" r:id="rId104"/>
    <sheet name="AB chart rollup AISH separate" sheetId="74" r:id="rId105"/>
    <sheet name="NF total $ 05 13" sheetId="281" r:id="rId106"/>
    <sheet name="NFLD" sheetId="77" r:id="rId107"/>
    <sheet name="Nfld pie 2005" sheetId="263" r:id="rId108"/>
    <sheet name="Nfld pie 2013" sheetId="264" r:id="rId109"/>
    <sheet name="NF pie 11-12" sheetId="212" r:id="rId110"/>
    <sheet name="NF pie 10-11" sheetId="122" r:id="rId111"/>
    <sheet name="NF pie 9-10" sheetId="83" r:id="rId112"/>
    <sheet name="NF % change by pgm 2013" sheetId="234" r:id="rId113"/>
    <sheet name="NF % pgm change 10-11" sheetId="123" r:id="rId114"/>
    <sheet name="NF bar % change by program" sheetId="84" r:id="rId115"/>
    <sheet name="NFLD pgm change 3 yrs" sheetId="213" r:id="rId116"/>
    <sheet name="NFLD pgm change 2 yrs" sheetId="164" r:id="rId117"/>
    <sheet name="NF rollup 3 yrs" sheetId="216" r:id="rId118"/>
    <sheet name="NF rollup 2 yrs" sheetId="165" r:id="rId119"/>
    <sheet name="NF rollup 2013" sheetId="124" r:id="rId120"/>
    <sheet name="NF chart rollup" sheetId="85" r:id="rId121"/>
    <sheet name="PEI" sheetId="78" r:id="rId122"/>
    <sheet name="PEI pie 2013" sheetId="270" r:id="rId123"/>
    <sheet name="PEI  pie 2005" sheetId="269" r:id="rId124"/>
    <sheet name="PEI pie 11-12" sheetId="217" r:id="rId125"/>
    <sheet name="PEI pie 10-11" sheetId="125" r:id="rId126"/>
    <sheet name="PEI pie" sheetId="86" r:id="rId127"/>
    <sheet name="PEI change 2013" sheetId="239" r:id="rId128"/>
    <sheet name="PEI % change 10-11" sheetId="126" r:id="rId129"/>
    <sheet name="PEI bar % change by program" sheetId="87" r:id="rId130"/>
    <sheet name="PEI pgm change 3 yrs" sheetId="218" r:id="rId131"/>
    <sheet name="PEI pgm change 2 yrs" sheetId="167" r:id="rId132"/>
    <sheet name="PEI rollup 3 yrs" sheetId="219" r:id="rId133"/>
    <sheet name="PEI rollup 2 yrs" sheetId="166" r:id="rId134"/>
    <sheet name="PEI rollup 2013" sheetId="127" r:id="rId135"/>
    <sheet name="PEI chart rollup" sheetId="88" r:id="rId136"/>
    <sheet name="NS" sheetId="79" r:id="rId137"/>
    <sheet name="NS pie 2013" sheetId="272" r:id="rId138"/>
    <sheet name="NS pie 2005" sheetId="271" r:id="rId139"/>
    <sheet name="NS pie 11-12" sheetId="220" r:id="rId140"/>
    <sheet name="NS pie 10-11" sheetId="128" r:id="rId141"/>
    <sheet name="NS pie" sheetId="89" r:id="rId142"/>
    <sheet name="NS bar % change 2013" sheetId="235" r:id="rId143"/>
    <sheet name="NS bar % change 10-11" sheetId="129" r:id="rId144"/>
    <sheet name="NS bar % change by program" sheetId="90" r:id="rId145"/>
    <sheet name="NS pgm change 3 yrs" sheetId="221" r:id="rId146"/>
    <sheet name="NS pgm change 2 yrs" sheetId="168" r:id="rId147"/>
    <sheet name="NS rollup 3 yrs" sheetId="222" r:id="rId148"/>
    <sheet name="NS rollup 2 yrs" sheetId="170" r:id="rId149"/>
    <sheet name="NS rollup 2013" sheetId="130" r:id="rId150"/>
    <sheet name="NS chart rollup" sheetId="91" r:id="rId151"/>
    <sheet name="NB" sheetId="80" r:id="rId152"/>
    <sheet name="NB pie 2013" sheetId="274" r:id="rId153"/>
    <sheet name="NB pie 2005" sheetId="273" r:id="rId154"/>
    <sheet name="NB pie 11-12" sheetId="223" r:id="rId155"/>
    <sheet name="NB pie 10-11" sheetId="132" r:id="rId156"/>
    <sheet name="NB pie" sheetId="92" r:id="rId157"/>
    <sheet name="NB pgm change to 2013" sheetId="236" r:id="rId158"/>
    <sheet name="NB bar % change 10-11" sheetId="133" r:id="rId159"/>
    <sheet name="NB bar % change by program" sheetId="93" r:id="rId160"/>
    <sheet name="NB pgm change 3 yrs" sheetId="224" r:id="rId161"/>
    <sheet name="NB pgm change 2 yrs" sheetId="171" r:id="rId162"/>
    <sheet name="NB rollup 3 yrs" sheetId="225" r:id="rId163"/>
    <sheet name="NB rollup 2 yrs" sheetId="172" r:id="rId164"/>
    <sheet name="NB rollup 2013" sheetId="134" r:id="rId165"/>
    <sheet name=" NB chart rollup" sheetId="94" r:id="rId166"/>
    <sheet name="QUE total $ 05 13" sheetId="282" r:id="rId167"/>
    <sheet name="QUE" sheetId="81" r:id="rId168"/>
    <sheet name="Que pie 2013" sheetId="261" r:id="rId169"/>
    <sheet name="Que pie 2005" sheetId="262" r:id="rId170"/>
    <sheet name="QUE pie 11-12" sheetId="226" r:id="rId171"/>
    <sheet name="QUE pie 10-11" sheetId="135" r:id="rId172"/>
    <sheet name="QUE pie 9-10" sheetId="95" r:id="rId173"/>
    <sheet name="QUE $ pgm change 2013" sheetId="237" r:id="rId174"/>
    <sheet name="QUE bar % change 10-11" sheetId="136" r:id="rId175"/>
    <sheet name="QUE bar % change by program" sheetId="96" r:id="rId176"/>
    <sheet name="QUE pgm change 3 yrs" sheetId="227" r:id="rId177"/>
    <sheet name="QUE pgm change 2 yrs" sheetId="173" r:id="rId178"/>
    <sheet name="que rollup 3 yrs" sheetId="228" r:id="rId179"/>
    <sheet name="QUE rollup 2 yrs" sheetId="174" r:id="rId180"/>
    <sheet name="QUE rollup 2013" sheetId="137" r:id="rId181"/>
    <sheet name="QUE chart rollup" sheetId="97" r:id="rId182"/>
    <sheet name="SASK" sheetId="82" r:id="rId183"/>
    <sheet name="SASK pie 2013" sheetId="276" r:id="rId184"/>
    <sheet name="SASK pie 2005" sheetId="275" r:id="rId185"/>
    <sheet name="SASK pie 11-12" sheetId="229" r:id="rId186"/>
    <sheet name="SASK pie 10-11" sheetId="138" r:id="rId187"/>
    <sheet name="SASK pie" sheetId="98" r:id="rId188"/>
    <sheet name="SASK pgm change 2013" sheetId="238" r:id="rId189"/>
    <sheet name="SASK bar % change 10-11" sheetId="139" r:id="rId190"/>
    <sheet name="SASK bar % change by program" sheetId="100" r:id="rId191"/>
    <sheet name="SASK pgm change 3 yrs" sheetId="230" r:id="rId192"/>
    <sheet name="SASK pgm change 2 yrs" sheetId="175" r:id="rId193"/>
    <sheet name="SASK rollup 3 yrs" sheetId="231" r:id="rId194"/>
    <sheet name="SASK rollup 2 yrs" sheetId="178" r:id="rId195"/>
    <sheet name="SASK rollup2013" sheetId="140" r:id="rId196"/>
    <sheet name="SASK chart rollup" sheetId="101" r:id="rId197"/>
    <sheet name="check" sheetId="99" r:id="rId198"/>
    <sheet name="Input to bar by province" sheetId="104" r:id="rId199"/>
    <sheet name="SA increase by prov to 2013" sheetId="277" r:id="rId200"/>
    <sheet name="SA increase 2009 and 2013" sheetId="278" r:id="rId201"/>
    <sheet name="SA increase by prov to 11-12" sheetId="243" r:id="rId202"/>
    <sheet name="Bar SA increase 3 yrs" sheetId="240" r:id="rId203"/>
    <sheet name="Bar SA increase 2 yrs" sheetId="179" r:id="rId204"/>
    <sheet name="Bar chart Increase all prov" sheetId="105" r:id="rId205"/>
    <sheet name="EI DATA" sheetId="106" r:id="rId206"/>
    <sheet name="EI BAR RATIO 13" sheetId="107" r:id="rId207"/>
    <sheet name="EI earner ratio 09 10" sheetId="180" r:id="rId208"/>
    <sheet name="EI per cap pmts 09 &amp; 10" sheetId="181" r:id="rId209"/>
    <sheet name="EI per cap pmts 13" sheetId="108" r:id="rId210"/>
    <sheet name="CHANGE NL,QC,ON,BC,CAN 2013" sheetId="284" r:id="rId211"/>
    <sheet name="All provs input 2011-12" sheetId="182" r:id="rId212"/>
    <sheet name="All prov, SA only 2011-12" sheetId="184" r:id="rId213"/>
    <sheet name=" All prov, total 2011-12" sheetId="185" r:id="rId214"/>
    <sheet name="All provs, Total excl SA 11-12" sheetId="186" r:id="rId215"/>
    <sheet name="Changes in east" sheetId="187" r:id="rId216"/>
    <sheet name="Changes in west" sheetId="188" r:id="rId217"/>
    <sheet name="input to 6 prov chart" sheetId="45" r:id="rId218"/>
    <sheet name="Bar chart SA change 5 province" sheetId="102" r:id="rId219"/>
    <sheet name="ON MB AB BC input to bar" sheetId="67" r:id="rId220"/>
    <sheet name="PER CAPITA #s &amp; CHARTS" sheetId="189" r:id="rId221"/>
  </sheets>
  <definedNames>
    <definedName name="_GoBack" localSheetId="0">Introduction!$B$2</definedName>
  </definedNames>
  <calcPr calcId="125725"/>
</workbook>
</file>

<file path=xl/calcChain.xml><?xml version="1.0" encoding="utf-8"?>
<calcChain xmlns="http://schemas.openxmlformats.org/spreadsheetml/2006/main">
  <c r="G32" i="189"/>
  <c r="D31"/>
  <c r="D27"/>
  <c r="C26"/>
  <c r="L265" i="82"/>
  <c r="Y265" s="1"/>
  <c r="D30" i="189" s="1"/>
  <c r="L264" i="82"/>
  <c r="J273"/>
  <c r="J265"/>
  <c r="J264"/>
  <c r="Y258" i="43"/>
  <c r="Y257"/>
  <c r="M257"/>
  <c r="L259"/>
  <c r="Y259" s="1"/>
  <c r="E29" i="189" s="1"/>
  <c r="L258" i="43"/>
  <c r="L257"/>
  <c r="J259"/>
  <c r="J258"/>
  <c r="K258" s="1"/>
  <c r="J257"/>
  <c r="K257" s="1"/>
  <c r="Y274" i="81"/>
  <c r="L268"/>
  <c r="Y268" s="1"/>
  <c r="L267"/>
  <c r="Y267" s="1"/>
  <c r="C27" i="189" s="1"/>
  <c r="L266" i="81"/>
  <c r="J268"/>
  <c r="J267"/>
  <c r="J266"/>
  <c r="Y259" i="80"/>
  <c r="Y256"/>
  <c r="Y255"/>
  <c r="L262"/>
  <c r="L256"/>
  <c r="L255"/>
  <c r="J261"/>
  <c r="J259"/>
  <c r="J256"/>
  <c r="J255"/>
  <c r="Y267" i="79"/>
  <c r="L271"/>
  <c r="Y271" s="1"/>
  <c r="L268"/>
  <c r="L267"/>
  <c r="J268"/>
  <c r="J267"/>
  <c r="Y266" i="78"/>
  <c r="L261"/>
  <c r="Y261" s="1"/>
  <c r="L266"/>
  <c r="B231"/>
  <c r="L260"/>
  <c r="Y260" s="1"/>
  <c r="J264"/>
  <c r="J267"/>
  <c r="J261"/>
  <c r="J260"/>
  <c r="Y262" i="77"/>
  <c r="Y261"/>
  <c r="L267"/>
  <c r="Y267" s="1"/>
  <c r="L265"/>
  <c r="L263"/>
  <c r="L262"/>
  <c r="L261"/>
  <c r="J263"/>
  <c r="J262"/>
  <c r="J261"/>
  <c r="Y263" i="70"/>
  <c r="L263"/>
  <c r="L262"/>
  <c r="Y262" s="1"/>
  <c r="J270"/>
  <c r="J264"/>
  <c r="J263"/>
  <c r="J262"/>
  <c r="Y263" i="44"/>
  <c r="Y256"/>
  <c r="L263"/>
  <c r="L257"/>
  <c r="L256"/>
  <c r="J263"/>
  <c r="J260"/>
  <c r="J257"/>
  <c r="J256"/>
  <c r="B234"/>
  <c r="L260" s="1"/>
  <c r="Y260" s="1"/>
  <c r="B192"/>
  <c r="B242" i="70"/>
  <c r="L266" s="1"/>
  <c r="Y266" s="1"/>
  <c r="B189" i="80"/>
  <c r="B240" i="78"/>
  <c r="L264" s="1"/>
  <c r="Y264" s="1"/>
  <c r="B197"/>
  <c r="B81" i="247"/>
  <c r="B80" i="246"/>
  <c r="B213" i="44"/>
  <c r="B114" i="247"/>
  <c r="B113"/>
  <c r="C114"/>
  <c r="C113"/>
  <c r="B191" i="44"/>
  <c r="B110" i="246" s="1"/>
  <c r="B233" i="44"/>
  <c r="B111" i="247" s="1"/>
  <c r="B241" i="70"/>
  <c r="B109" i="246" s="1"/>
  <c r="B28" i="251"/>
  <c r="L60" i="3" s="1"/>
  <c r="B234" i="43"/>
  <c r="L261" s="1"/>
  <c r="B218"/>
  <c r="B217"/>
  <c r="B216"/>
  <c r="B215"/>
  <c r="B214"/>
  <c r="B213"/>
  <c r="B192"/>
  <c r="J261" s="1"/>
  <c r="B176"/>
  <c r="B175"/>
  <c r="B174"/>
  <c r="B173"/>
  <c r="B172"/>
  <c r="B171"/>
  <c r="B218" i="44"/>
  <c r="B217"/>
  <c r="B216"/>
  <c r="B215"/>
  <c r="B214"/>
  <c r="B176"/>
  <c r="B175"/>
  <c r="B174"/>
  <c r="B173"/>
  <c r="B172"/>
  <c r="B171"/>
  <c r="B226" i="70"/>
  <c r="B225"/>
  <c r="B224"/>
  <c r="B223"/>
  <c r="B222"/>
  <c r="B221"/>
  <c r="B197"/>
  <c r="J266" s="1"/>
  <c r="B196"/>
  <c r="B181"/>
  <c r="B180"/>
  <c r="B179"/>
  <c r="B178"/>
  <c r="B177"/>
  <c r="B176"/>
  <c r="B195" i="82"/>
  <c r="J268" s="1"/>
  <c r="B238"/>
  <c r="B82" i="247"/>
  <c r="B80"/>
  <c r="B242" i="82"/>
  <c r="L270" s="1"/>
  <c r="Y270" s="1"/>
  <c r="B198"/>
  <c r="B113" i="246" s="1"/>
  <c r="C113" s="1"/>
  <c r="B239" i="82"/>
  <c r="L268" s="1"/>
  <c r="Y268" s="1"/>
  <c r="G30" i="189" s="1"/>
  <c r="B79" i="246"/>
  <c r="B223" i="82"/>
  <c r="B222"/>
  <c r="B221"/>
  <c r="B220"/>
  <c r="B219"/>
  <c r="B218"/>
  <c r="B179"/>
  <c r="B178"/>
  <c r="B177"/>
  <c r="B176"/>
  <c r="B175"/>
  <c r="B174"/>
  <c r="B243" i="81"/>
  <c r="L271" s="1"/>
  <c r="Y271" s="1"/>
  <c r="B241"/>
  <c r="B106" i="247" s="1"/>
  <c r="B226" i="81"/>
  <c r="B225"/>
  <c r="B224"/>
  <c r="B223"/>
  <c r="B222"/>
  <c r="B221"/>
  <c r="B200"/>
  <c r="J271" s="1"/>
  <c r="B198"/>
  <c r="B105" i="246" s="1"/>
  <c r="B183" i="81"/>
  <c r="B182"/>
  <c r="B181"/>
  <c r="B180"/>
  <c r="B179"/>
  <c r="B178"/>
  <c r="B231" i="80"/>
  <c r="L259" s="1"/>
  <c r="B215"/>
  <c r="B214"/>
  <c r="B213"/>
  <c r="B212"/>
  <c r="B211"/>
  <c r="B210"/>
  <c r="B173"/>
  <c r="B172"/>
  <c r="B171"/>
  <c r="B170"/>
  <c r="B169"/>
  <c r="B168"/>
  <c r="B242" i="79"/>
  <c r="B240"/>
  <c r="B225"/>
  <c r="B224"/>
  <c r="B223"/>
  <c r="B222"/>
  <c r="B221"/>
  <c r="B220"/>
  <c r="B199"/>
  <c r="J271" s="1"/>
  <c r="B241" i="77"/>
  <c r="B197" i="79"/>
  <c r="B200" s="1"/>
  <c r="J272" s="1"/>
  <c r="B182"/>
  <c r="B181"/>
  <c r="B180"/>
  <c r="B179"/>
  <c r="B178"/>
  <c r="B177"/>
  <c r="B238" i="78"/>
  <c r="B223"/>
  <c r="B222"/>
  <c r="B221"/>
  <c r="B220"/>
  <c r="B219"/>
  <c r="B218"/>
  <c r="B195"/>
  <c r="B102" i="246" s="1"/>
  <c r="B180" i="78"/>
  <c r="B179"/>
  <c r="B178"/>
  <c r="B177"/>
  <c r="B176"/>
  <c r="B175"/>
  <c r="B197" i="77"/>
  <c r="J265" s="1"/>
  <c r="B235"/>
  <c r="B223"/>
  <c r="B222"/>
  <c r="B221"/>
  <c r="B220"/>
  <c r="B219"/>
  <c r="B218"/>
  <c r="B191"/>
  <c r="B179"/>
  <c r="B178"/>
  <c r="B177"/>
  <c r="B176"/>
  <c r="B175"/>
  <c r="B174"/>
  <c r="B32" i="245"/>
  <c r="B35" s="1"/>
  <c r="B32" i="244"/>
  <c r="J31" i="3" s="1"/>
  <c r="D98" i="106"/>
  <c r="C98"/>
  <c r="D97"/>
  <c r="C97"/>
  <c r="D96"/>
  <c r="C96"/>
  <c r="D95"/>
  <c r="C95"/>
  <c r="D94"/>
  <c r="C94"/>
  <c r="D93"/>
  <c r="C93"/>
  <c r="D92"/>
  <c r="C92"/>
  <c r="D91"/>
  <c r="C91"/>
  <c r="D90"/>
  <c r="C90"/>
  <c r="D89"/>
  <c r="C89"/>
  <c r="D88"/>
  <c r="C88"/>
  <c r="B98"/>
  <c r="B97"/>
  <c r="B96"/>
  <c r="B95"/>
  <c r="B94"/>
  <c r="B93"/>
  <c r="B92"/>
  <c r="B91"/>
  <c r="B90"/>
  <c r="B89"/>
  <c r="B88"/>
  <c r="B52"/>
  <c r="D52"/>
  <c r="C52"/>
  <c r="D51"/>
  <c r="C51"/>
  <c r="B51"/>
  <c r="D50"/>
  <c r="C50"/>
  <c r="B50"/>
  <c r="D49"/>
  <c r="C49"/>
  <c r="B49"/>
  <c r="D48"/>
  <c r="C48"/>
  <c r="B48"/>
  <c r="D47"/>
  <c r="C47"/>
  <c r="B47"/>
  <c r="D46"/>
  <c r="C46"/>
  <c r="B46"/>
  <c r="D45"/>
  <c r="C45"/>
  <c r="B45"/>
  <c r="D44"/>
  <c r="C44"/>
  <c r="B44"/>
  <c r="D43"/>
  <c r="C43"/>
  <c r="B43"/>
  <c r="D53"/>
  <c r="C53"/>
  <c r="B53"/>
  <c r="B235" i="82"/>
  <c r="L266" s="1"/>
  <c r="B191"/>
  <c r="J266" s="1"/>
  <c r="B147"/>
  <c r="B252"/>
  <c r="L273" s="1"/>
  <c r="Y273" s="1"/>
  <c r="J30" i="189" s="1"/>
  <c r="B247" i="82"/>
  <c r="L272" s="1"/>
  <c r="Y272" s="1"/>
  <c r="I30" i="189" s="1"/>
  <c r="B231" i="82"/>
  <c r="B208"/>
  <c r="B203"/>
  <c r="J272" s="1"/>
  <c r="B187"/>
  <c r="B238" i="81"/>
  <c r="L269" s="1"/>
  <c r="B195"/>
  <c r="J269" s="1"/>
  <c r="B254"/>
  <c r="L274" s="1"/>
  <c r="B249"/>
  <c r="L273" s="1"/>
  <c r="Y273" s="1"/>
  <c r="B234"/>
  <c r="B211"/>
  <c r="J274" s="1"/>
  <c r="B206"/>
  <c r="J273" s="1"/>
  <c r="B191"/>
  <c r="B230" i="80"/>
  <c r="B105" i="247" s="1"/>
  <c r="B188" i="80"/>
  <c r="B104" i="246" s="1"/>
  <c r="B227" i="80"/>
  <c r="L257" s="1"/>
  <c r="Y257" s="1"/>
  <c r="B185"/>
  <c r="J257" s="1"/>
  <c r="B242"/>
  <c r="B237"/>
  <c r="L261" s="1"/>
  <c r="B223"/>
  <c r="B200"/>
  <c r="J262" s="1"/>
  <c r="B195"/>
  <c r="B181"/>
  <c r="B237" i="79"/>
  <c r="L269" s="1"/>
  <c r="B194"/>
  <c r="J269" s="1"/>
  <c r="B253"/>
  <c r="L274" s="1"/>
  <c r="Y274" s="1"/>
  <c r="B248"/>
  <c r="L273" s="1"/>
  <c r="B233"/>
  <c r="B210"/>
  <c r="J274" s="1"/>
  <c r="B205"/>
  <c r="J273" s="1"/>
  <c r="B190"/>
  <c r="B192" i="78"/>
  <c r="J262" s="1"/>
  <c r="B235"/>
  <c r="L262" s="1"/>
  <c r="Y262" s="1"/>
  <c r="E24" i="189" s="1"/>
  <c r="B251" i="78"/>
  <c r="L267" s="1"/>
  <c r="B246"/>
  <c r="B208"/>
  <c r="B203"/>
  <c r="J266" s="1"/>
  <c r="B188"/>
  <c r="B238" i="77"/>
  <c r="B102" i="247" s="1"/>
  <c r="B194" i="77"/>
  <c r="B198" s="1"/>
  <c r="J266" s="1"/>
  <c r="B252"/>
  <c r="L268" s="1"/>
  <c r="B247"/>
  <c r="B231"/>
  <c r="B208"/>
  <c r="J268" s="1"/>
  <c r="B203"/>
  <c r="J267" s="1"/>
  <c r="B187"/>
  <c r="B245" i="70"/>
  <c r="L268" s="1"/>
  <c r="B200"/>
  <c r="B112" i="246" s="1"/>
  <c r="C112" s="1"/>
  <c r="B238" i="70"/>
  <c r="L264" s="1"/>
  <c r="Y264" s="1"/>
  <c r="B193"/>
  <c r="B255"/>
  <c r="L271" s="1"/>
  <c r="B250"/>
  <c r="L270" s="1"/>
  <c r="B234"/>
  <c r="B210"/>
  <c r="J271" s="1"/>
  <c r="B205"/>
  <c r="B189"/>
  <c r="B134"/>
  <c r="B135"/>
  <c r="B136"/>
  <c r="B137"/>
  <c r="B138"/>
  <c r="B139"/>
  <c r="B152"/>
  <c r="B153"/>
  <c r="B149"/>
  <c r="B245" i="44"/>
  <c r="B240"/>
  <c r="L262" s="1"/>
  <c r="B230"/>
  <c r="L258" s="1"/>
  <c r="Y258" s="1"/>
  <c r="E32" i="189" s="1"/>
  <c r="B226" i="44"/>
  <c r="B203"/>
  <c r="B198"/>
  <c r="J262" s="1"/>
  <c r="B188"/>
  <c r="J258" s="1"/>
  <c r="B184"/>
  <c r="B230" i="43"/>
  <c r="B188"/>
  <c r="B244"/>
  <c r="L264" s="1"/>
  <c r="B240"/>
  <c r="L263" s="1"/>
  <c r="B226"/>
  <c r="B202"/>
  <c r="J264" s="1"/>
  <c r="B198"/>
  <c r="J263" s="1"/>
  <c r="K263" s="1"/>
  <c r="B184"/>
  <c r="B257"/>
  <c r="B258"/>
  <c r="M258" s="1"/>
  <c r="B263"/>
  <c r="N35" i="36"/>
  <c r="P35"/>
  <c r="P40"/>
  <c r="P39"/>
  <c r="P21"/>
  <c r="X21" s="1"/>
  <c r="P20"/>
  <c r="P19"/>
  <c r="X19" s="1"/>
  <c r="P14"/>
  <c r="P13"/>
  <c r="P12"/>
  <c r="P11"/>
  <c r="P10"/>
  <c r="P9"/>
  <c r="N21"/>
  <c r="N20"/>
  <c r="N40"/>
  <c r="N39"/>
  <c r="N19"/>
  <c r="N14"/>
  <c r="N13"/>
  <c r="N12"/>
  <c r="N11"/>
  <c r="N10"/>
  <c r="N9"/>
  <c r="M37" i="23"/>
  <c r="M36"/>
  <c r="M31"/>
  <c r="M33" s="1"/>
  <c r="M22"/>
  <c r="M23" s="1"/>
  <c r="R23" s="1"/>
  <c r="M18"/>
  <c r="R18" s="1"/>
  <c r="D28" i="189" s="1"/>
  <c r="M16" i="23"/>
  <c r="R16" s="1"/>
  <c r="K37"/>
  <c r="K36"/>
  <c r="K31"/>
  <c r="K33" s="1"/>
  <c r="K18"/>
  <c r="K16"/>
  <c r="L63" i="3"/>
  <c r="L62"/>
  <c r="L58"/>
  <c r="L57"/>
  <c r="L56"/>
  <c r="J58"/>
  <c r="J57"/>
  <c r="J56"/>
  <c r="L36"/>
  <c r="L35"/>
  <c r="L32"/>
  <c r="L22"/>
  <c r="L23" s="1"/>
  <c r="L46" s="1"/>
  <c r="L18"/>
  <c r="L45" s="1"/>
  <c r="L17"/>
  <c r="L16"/>
  <c r="L11"/>
  <c r="L10"/>
  <c r="L9"/>
  <c r="L8"/>
  <c r="L7"/>
  <c r="L6"/>
  <c r="J22"/>
  <c r="J18"/>
  <c r="J45" s="1"/>
  <c r="J17"/>
  <c r="J16"/>
  <c r="J11"/>
  <c r="J10"/>
  <c r="J9"/>
  <c r="J8"/>
  <c r="J7"/>
  <c r="J6"/>
  <c r="J36"/>
  <c r="J35"/>
  <c r="B35" i="251"/>
  <c r="B19"/>
  <c r="J62" i="3"/>
  <c r="B28" i="250"/>
  <c r="B19"/>
  <c r="B19" i="245"/>
  <c r="B12"/>
  <c r="B12" i="251" s="1"/>
  <c r="M12" i="23" s="1"/>
  <c r="B19" i="244"/>
  <c r="B12"/>
  <c r="B12" i="250" s="1"/>
  <c r="K12" i="23" s="1"/>
  <c r="B59" i="246"/>
  <c r="B28" i="244" s="1"/>
  <c r="N30" i="36" s="1"/>
  <c r="C78" i="246"/>
  <c r="B85" s="1"/>
  <c r="B78"/>
  <c r="B74"/>
  <c r="B87" s="1"/>
  <c r="B191" i="43" s="1"/>
  <c r="J260" s="1"/>
  <c r="J268" s="1"/>
  <c r="B70" i="246"/>
  <c r="B88" s="1"/>
  <c r="B69"/>
  <c r="B56"/>
  <c r="B55"/>
  <c r="B24"/>
  <c r="B56" i="247"/>
  <c r="B55"/>
  <c r="B40"/>
  <c r="B60" s="1"/>
  <c r="B28" i="245" s="1"/>
  <c r="B15" i="247"/>
  <c r="B14"/>
  <c r="B67" s="1"/>
  <c r="B11" i="251"/>
  <c r="M11" i="23" s="1"/>
  <c r="B10" i="251"/>
  <c r="M10" i="23" s="1"/>
  <c r="B9" i="251"/>
  <c r="M9" i="23" s="1"/>
  <c r="B8" i="251"/>
  <c r="M8" i="23" s="1"/>
  <c r="B7" i="251"/>
  <c r="M7" i="23" s="1"/>
  <c r="B6" i="251"/>
  <c r="M6" i="23" s="1"/>
  <c r="B11" i="250"/>
  <c r="K11" i="23" s="1"/>
  <c r="B10" i="250"/>
  <c r="K10" i="23" s="1"/>
  <c r="B9" i="250"/>
  <c r="K9" i="23" s="1"/>
  <c r="B8" i="250"/>
  <c r="K8" i="23" s="1"/>
  <c r="B7" i="250"/>
  <c r="K7" i="23" s="1"/>
  <c r="B6" i="250"/>
  <c r="K6" i="23" s="1"/>
  <c r="B40" i="251"/>
  <c r="B40" i="250"/>
  <c r="J63" i="3" s="1"/>
  <c r="B24" i="251"/>
  <c r="B24" i="250"/>
  <c r="K22" i="23" s="1"/>
  <c r="K23" s="1"/>
  <c r="B24" i="244"/>
  <c r="N25" i="36" s="1"/>
  <c r="N26" s="1"/>
  <c r="B24" i="245"/>
  <c r="P25" i="36" s="1"/>
  <c r="P26" s="1"/>
  <c r="B40" i="244"/>
  <c r="B40" i="245"/>
  <c r="B34" i="246"/>
  <c r="B30"/>
  <c r="B20"/>
  <c r="B75" s="1"/>
  <c r="B15"/>
  <c r="B27" i="250" s="1"/>
  <c r="B29" s="1"/>
  <c r="B14" i="246"/>
  <c r="B66" s="1"/>
  <c r="B11"/>
  <c r="B79" i="247"/>
  <c r="C79" s="1"/>
  <c r="B86" s="1"/>
  <c r="B75"/>
  <c r="B88" s="1"/>
  <c r="B233" i="43" s="1"/>
  <c r="B108" i="247" s="1"/>
  <c r="B71"/>
  <c r="B89" s="1"/>
  <c r="B70"/>
  <c r="B34"/>
  <c r="B30"/>
  <c r="B24"/>
  <c r="B20"/>
  <c r="B76" s="1"/>
  <c r="C16"/>
  <c r="B11"/>
  <c r="B12" i="191"/>
  <c r="B140" i="70" s="1"/>
  <c r="B151" i="82"/>
  <c r="B107"/>
  <c r="Y270" i="70" l="1"/>
  <c r="E31" i="189"/>
  <c r="I27"/>
  <c r="G24"/>
  <c r="Y261" i="43"/>
  <c r="M261"/>
  <c r="Y269" i="79"/>
  <c r="C32" i="189"/>
  <c r="C24"/>
  <c r="Y262" i="44"/>
  <c r="Y273" i="79"/>
  <c r="C75" i="246"/>
  <c r="B27" i="251"/>
  <c r="L59" i="3" s="1"/>
  <c r="B68" i="247"/>
  <c r="B87" s="1"/>
  <c r="Y267" i="78"/>
  <c r="C83" i="247"/>
  <c r="B90"/>
  <c r="G25" i="189"/>
  <c r="Y268" i="77"/>
  <c r="P34" i="36"/>
  <c r="X34" s="1"/>
  <c r="L31" i="3"/>
  <c r="Y266" i="81"/>
  <c r="C23" i="189"/>
  <c r="E26"/>
  <c r="D23"/>
  <c r="G31"/>
  <c r="G26"/>
  <c r="J60" i="3"/>
  <c r="K27" i="23"/>
  <c r="Y263" i="43"/>
  <c r="M263"/>
  <c r="Y269" i="81"/>
  <c r="G27" i="189"/>
  <c r="Y263" i="77"/>
  <c r="D24" i="189"/>
  <c r="C25"/>
  <c r="Y261" i="80"/>
  <c r="D29" i="189"/>
  <c r="C31"/>
  <c r="B194" i="82"/>
  <c r="B108" i="246" s="1"/>
  <c r="B81"/>
  <c r="I24" i="189"/>
  <c r="J27"/>
  <c r="C29"/>
  <c r="Y264" i="43"/>
  <c r="Y266" i="82"/>
  <c r="E30" i="189" s="1"/>
  <c r="Y271" i="70"/>
  <c r="Y265" i="77"/>
  <c r="Y262" i="80"/>
  <c r="J25" i="189"/>
  <c r="J32"/>
  <c r="Y264" i="82"/>
  <c r="C30" i="189" s="1"/>
  <c r="B193" i="43"/>
  <c r="J262" s="1"/>
  <c r="J269" s="1"/>
  <c r="I23" i="189"/>
  <c r="Y268" i="79"/>
  <c r="B16" i="246"/>
  <c r="B91" s="1"/>
  <c r="Y257" i="44"/>
  <c r="D26" i="189"/>
  <c r="B180" i="77"/>
  <c r="B181" s="1"/>
  <c r="B224"/>
  <c r="B225" s="1"/>
  <c r="J263" i="78"/>
  <c r="B107" i="246"/>
  <c r="B219" i="44"/>
  <c r="B220" s="1"/>
  <c r="L255" s="1"/>
  <c r="Y255" s="1"/>
  <c r="L264" i="77"/>
  <c r="Y264" s="1"/>
  <c r="F23" i="189" s="1"/>
  <c r="X25" i="36"/>
  <c r="E22" i="189" s="1"/>
  <c r="L44" i="3"/>
  <c r="B224" i="82"/>
  <c r="B225" s="1"/>
  <c r="B103" i="247"/>
  <c r="L263" i="78"/>
  <c r="E28" i="189"/>
  <c r="D22"/>
  <c r="J272" i="77"/>
  <c r="B243" i="79"/>
  <c r="L272" s="1"/>
  <c r="L270"/>
  <c r="C22" i="189"/>
  <c r="J278" i="79"/>
  <c r="B109" i="247"/>
  <c r="L267" i="82"/>
  <c r="Y267" s="1"/>
  <c r="F30" i="189" s="1"/>
  <c r="B198" i="70"/>
  <c r="J267" s="1"/>
  <c r="J265"/>
  <c r="J269"/>
  <c r="J275" s="1"/>
  <c r="C28" i="189"/>
  <c r="B177" i="44"/>
  <c r="B178" s="1"/>
  <c r="J255" s="1"/>
  <c r="R31" i="23"/>
  <c r="J268" i="70"/>
  <c r="J270" i="81"/>
  <c r="L277" i="70"/>
  <c r="Y268"/>
  <c r="B227" i="81"/>
  <c r="B228" s="1"/>
  <c r="J259" i="44"/>
  <c r="L265" i="70"/>
  <c r="L269"/>
  <c r="J270" i="79"/>
  <c r="J258" i="80"/>
  <c r="L270" i="81"/>
  <c r="B177" i="43"/>
  <c r="B178" s="1"/>
  <c r="B219"/>
  <c r="B220" s="1"/>
  <c r="L256" s="1"/>
  <c r="L259" i="44"/>
  <c r="J264" i="77"/>
  <c r="L258" i="80"/>
  <c r="J270" i="82"/>
  <c r="L260" i="43"/>
  <c r="B104" i="247"/>
  <c r="B110"/>
  <c r="J44" i="3"/>
  <c r="L37"/>
  <c r="L49" s="1"/>
  <c r="B224" i="78"/>
  <c r="B225" s="1"/>
  <c r="L259" s="1"/>
  <c r="B183" i="79"/>
  <c r="B184" s="1"/>
  <c r="B174" i="80"/>
  <c r="B175" s="1"/>
  <c r="J254" s="1"/>
  <c r="B216"/>
  <c r="B217" s="1"/>
  <c r="B184" i="81"/>
  <c r="B185" s="1"/>
  <c r="B182" i="70"/>
  <c r="B183" s="1"/>
  <c r="B101" i="246"/>
  <c r="B226" i="79"/>
  <c r="B227" s="1"/>
  <c r="B103" i="246"/>
  <c r="B181" i="78"/>
  <c r="B182" s="1"/>
  <c r="B180" i="82"/>
  <c r="B181" s="1"/>
  <c r="J263" s="1"/>
  <c r="B227" i="70"/>
  <c r="B228" s="1"/>
  <c r="L261" s="1"/>
  <c r="B106" i="246"/>
  <c r="B235" i="44"/>
  <c r="B243" i="70"/>
  <c r="L267" s="1"/>
  <c r="M27" i="23"/>
  <c r="R27" s="1"/>
  <c r="B235" i="43"/>
  <c r="B193" i="44"/>
  <c r="B240" i="82"/>
  <c r="L269" s="1"/>
  <c r="L271" s="1"/>
  <c r="B196"/>
  <c r="B244" i="81"/>
  <c r="L272" s="1"/>
  <c r="B201"/>
  <c r="J272" s="1"/>
  <c r="B232" i="80"/>
  <c r="L260" s="1"/>
  <c r="B190"/>
  <c r="B242" i="77"/>
  <c r="L266" s="1"/>
  <c r="B35" i="244"/>
  <c r="N34" i="36"/>
  <c r="N36" s="1"/>
  <c r="B241" i="78"/>
  <c r="L265" s="1"/>
  <c r="B198"/>
  <c r="J265" s="1"/>
  <c r="P22" i="36"/>
  <c r="K19" i="23"/>
  <c r="K38"/>
  <c r="N22" i="36"/>
  <c r="B13" i="245"/>
  <c r="P16" i="36" s="1"/>
  <c r="X16" s="1"/>
  <c r="N41"/>
  <c r="M38" i="23"/>
  <c r="R38" s="1"/>
  <c r="P15" i="36"/>
  <c r="L27" i="3"/>
  <c r="P30" i="36"/>
  <c r="X30" s="1"/>
  <c r="K13" i="23"/>
  <c r="J12" i="3"/>
  <c r="J13" s="1"/>
  <c r="J43" s="1"/>
  <c r="J23"/>
  <c r="J46" s="1"/>
  <c r="L12"/>
  <c r="L13" s="1"/>
  <c r="L43" s="1"/>
  <c r="N15" i="36"/>
  <c r="M19" i="23"/>
  <c r="L33" i="3"/>
  <c r="L48" s="1"/>
  <c r="J27"/>
  <c r="L19"/>
  <c r="K26" i="23"/>
  <c r="P41" i="36"/>
  <c r="X41" s="1"/>
  <c r="J37" i="3"/>
  <c r="J49" s="1"/>
  <c r="J19"/>
  <c r="B13" i="251"/>
  <c r="B35" i="250"/>
  <c r="B13"/>
  <c r="J59" i="3"/>
  <c r="J33"/>
  <c r="J48" s="1"/>
  <c r="B13" i="244"/>
  <c r="N16" i="36" s="1"/>
  <c r="B67" i="246"/>
  <c r="B68" s="1"/>
  <c r="C70"/>
  <c r="B71"/>
  <c r="B38"/>
  <c r="B69" i="247"/>
  <c r="C68" s="1"/>
  <c r="B16"/>
  <c r="B92" s="1"/>
  <c r="B72"/>
  <c r="C72" s="1"/>
  <c r="C76"/>
  <c r="B151" i="81"/>
  <c r="H269" s="1"/>
  <c r="X269" s="1"/>
  <c r="B147" i="80"/>
  <c r="B156" i="81"/>
  <c r="H271" s="1"/>
  <c r="B112"/>
  <c r="B107" i="80"/>
  <c r="B154" i="79"/>
  <c r="H271" s="1"/>
  <c r="B111"/>
  <c r="B152" i="78"/>
  <c r="B110"/>
  <c r="B153" i="77"/>
  <c r="B111"/>
  <c r="H266" i="70"/>
  <c r="B111"/>
  <c r="B150" i="44"/>
  <c r="B109"/>
  <c r="B150" i="43"/>
  <c r="B109"/>
  <c r="B27" i="192"/>
  <c r="B27" i="111"/>
  <c r="B23" i="109"/>
  <c r="B22"/>
  <c r="B105" i="44"/>
  <c r="B107" i="70"/>
  <c r="B104" i="43"/>
  <c r="B22" i="111"/>
  <c r="B103" i="80"/>
  <c r="B106" i="79"/>
  <c r="B105" i="78"/>
  <c r="B105" i="77"/>
  <c r="B107" i="81"/>
  <c r="B103" i="82"/>
  <c r="B139" i="79"/>
  <c r="B138"/>
  <c r="B137"/>
  <c r="B136"/>
  <c r="B135"/>
  <c r="B134"/>
  <c r="B145" i="43"/>
  <c r="B135" i="82"/>
  <c r="B134"/>
  <c r="B133"/>
  <c r="B132"/>
  <c r="B131"/>
  <c r="B130"/>
  <c r="H272"/>
  <c r="X272" s="1"/>
  <c r="H265"/>
  <c r="X265" s="1"/>
  <c r="H264"/>
  <c r="B150"/>
  <c r="H266"/>
  <c r="B162"/>
  <c r="H273" s="1"/>
  <c r="B157"/>
  <c r="B143"/>
  <c r="H273" i="81"/>
  <c r="X273" s="1"/>
  <c r="H268"/>
  <c r="X268" s="1"/>
  <c r="H267"/>
  <c r="X267" s="1"/>
  <c r="H266"/>
  <c r="X266" s="1"/>
  <c r="B141"/>
  <c r="B140"/>
  <c r="B139"/>
  <c r="B138"/>
  <c r="B137"/>
  <c r="B136"/>
  <c r="B167"/>
  <c r="H274" s="1"/>
  <c r="B162"/>
  <c r="B149"/>
  <c r="H257" i="80"/>
  <c r="X257" s="1"/>
  <c r="H256"/>
  <c r="X256" s="1"/>
  <c r="H255"/>
  <c r="X255" s="1"/>
  <c r="B146"/>
  <c r="B143"/>
  <c r="B133"/>
  <c r="B132"/>
  <c r="B131"/>
  <c r="B130"/>
  <c r="B129"/>
  <c r="B128"/>
  <c r="B158"/>
  <c r="H262" s="1"/>
  <c r="B153"/>
  <c r="H261" s="1"/>
  <c r="B141"/>
  <c r="H273" i="79"/>
  <c r="X273" s="1"/>
  <c r="H268"/>
  <c r="X268" s="1"/>
  <c r="H267"/>
  <c r="X267" s="1"/>
  <c r="B152"/>
  <c r="B149"/>
  <c r="H269" s="1"/>
  <c r="B165"/>
  <c r="H274" s="1"/>
  <c r="B160"/>
  <c r="B147"/>
  <c r="H266" i="78"/>
  <c r="X266" s="1"/>
  <c r="H261"/>
  <c r="X261" s="1"/>
  <c r="H260"/>
  <c r="B150"/>
  <c r="B147"/>
  <c r="H262" s="1"/>
  <c r="B137"/>
  <c r="B136"/>
  <c r="B135"/>
  <c r="B134"/>
  <c r="B133"/>
  <c r="B132"/>
  <c r="B163"/>
  <c r="H267" s="1"/>
  <c r="B158"/>
  <c r="B145"/>
  <c r="H267" i="77"/>
  <c r="H262"/>
  <c r="X262" s="1"/>
  <c r="H261"/>
  <c r="X261" s="1"/>
  <c r="B150"/>
  <c r="B147"/>
  <c r="H263" s="1"/>
  <c r="B137"/>
  <c r="B136"/>
  <c r="B135"/>
  <c r="B134"/>
  <c r="B133"/>
  <c r="B132"/>
  <c r="B164"/>
  <c r="H268" s="1"/>
  <c r="X268" s="1"/>
  <c r="B159"/>
  <c r="B145"/>
  <c r="H270" i="70"/>
  <c r="X270" s="1"/>
  <c r="H263"/>
  <c r="H262"/>
  <c r="X262" s="1"/>
  <c r="B156"/>
  <c r="H264"/>
  <c r="B110"/>
  <c r="B114"/>
  <c r="B166"/>
  <c r="H271" s="1"/>
  <c r="B161"/>
  <c r="B147"/>
  <c r="H257" i="44"/>
  <c r="H256"/>
  <c r="B149"/>
  <c r="B146"/>
  <c r="H258" s="1"/>
  <c r="X258" s="1"/>
  <c r="B136"/>
  <c r="B135"/>
  <c r="B134"/>
  <c r="B133"/>
  <c r="B132"/>
  <c r="B131"/>
  <c r="B161"/>
  <c r="H263" s="1"/>
  <c r="B156"/>
  <c r="H262" s="1"/>
  <c r="X262" s="1"/>
  <c r="B144"/>
  <c r="H63" i="3"/>
  <c r="H57"/>
  <c r="H56"/>
  <c r="H36"/>
  <c r="H35"/>
  <c r="H32"/>
  <c r="H31"/>
  <c r="H18"/>
  <c r="H17"/>
  <c r="H16"/>
  <c r="H11"/>
  <c r="H10"/>
  <c r="H9"/>
  <c r="H8"/>
  <c r="H7"/>
  <c r="H6"/>
  <c r="B22" i="192"/>
  <c r="I22" i="23" s="1"/>
  <c r="I23" s="1"/>
  <c r="H259" i="43"/>
  <c r="X259" s="1"/>
  <c r="H258"/>
  <c r="H257"/>
  <c r="X257" s="1"/>
  <c r="B146"/>
  <c r="B135"/>
  <c r="B134"/>
  <c r="B133"/>
  <c r="B132"/>
  <c r="B131"/>
  <c r="B130"/>
  <c r="B160"/>
  <c r="H264" s="1"/>
  <c r="X264" s="1"/>
  <c r="B156"/>
  <c r="H263" s="1"/>
  <c r="B143"/>
  <c r="I37" i="23"/>
  <c r="I36"/>
  <c r="I31"/>
  <c r="Q31" s="1"/>
  <c r="I18"/>
  <c r="Q18" s="1"/>
  <c r="I16"/>
  <c r="L39" i="37"/>
  <c r="L38"/>
  <c r="L33"/>
  <c r="L35" s="1"/>
  <c r="L20"/>
  <c r="L19"/>
  <c r="B26" i="192"/>
  <c r="B11"/>
  <c r="L14" i="37" s="1"/>
  <c r="B10" i="192"/>
  <c r="L13" i="37" s="1"/>
  <c r="B9" i="192"/>
  <c r="L12" i="37" s="1"/>
  <c r="B8" i="192"/>
  <c r="L11" i="37" s="1"/>
  <c r="B7" i="192"/>
  <c r="L10" i="37" s="1"/>
  <c r="B6" i="192"/>
  <c r="L9" i="37" s="1"/>
  <c r="L40" i="36"/>
  <c r="L39"/>
  <c r="L35"/>
  <c r="L34"/>
  <c r="L25"/>
  <c r="L21"/>
  <c r="L20"/>
  <c r="L19"/>
  <c r="L14"/>
  <c r="L12"/>
  <c r="L11"/>
  <c r="L10"/>
  <c r="L9"/>
  <c r="B39" i="192"/>
  <c r="B34"/>
  <c r="H62" i="3" s="1"/>
  <c r="B19" i="192"/>
  <c r="L15" i="36"/>
  <c r="B24" i="191"/>
  <c r="H22" i="3" s="1"/>
  <c r="H23" s="1"/>
  <c r="H46" s="1"/>
  <c r="B14" i="190"/>
  <c r="B16" s="1"/>
  <c r="B86" s="1"/>
  <c r="B40" i="191"/>
  <c r="B35"/>
  <c r="B19"/>
  <c r="C107" i="190"/>
  <c r="C77"/>
  <c r="B81" s="1"/>
  <c r="B154" i="81" s="1"/>
  <c r="B77" i="190"/>
  <c r="B73"/>
  <c r="B69"/>
  <c r="B84" s="1"/>
  <c r="B68"/>
  <c r="B54"/>
  <c r="B34"/>
  <c r="B30"/>
  <c r="B24"/>
  <c r="B20"/>
  <c r="B74" s="1"/>
  <c r="C16"/>
  <c r="B66"/>
  <c r="B11"/>
  <c r="B26" i="22"/>
  <c r="B27" i="16"/>
  <c r="B27" i="21"/>
  <c r="B68" i="44"/>
  <c r="B28"/>
  <c r="B67" i="43"/>
  <c r="B26"/>
  <c r="B261" s="1"/>
  <c r="K261" s="1"/>
  <c r="B106" i="82"/>
  <c r="B66"/>
  <c r="B65"/>
  <c r="B26"/>
  <c r="B25"/>
  <c r="B69" i="81"/>
  <c r="B27"/>
  <c r="B66" i="80"/>
  <c r="B26"/>
  <c r="B66" i="79"/>
  <c r="B109"/>
  <c r="B68"/>
  <c r="B27"/>
  <c r="B25"/>
  <c r="B108" i="78"/>
  <c r="B68"/>
  <c r="B66"/>
  <c r="B27"/>
  <c r="B25"/>
  <c r="B70" i="77"/>
  <c r="B28"/>
  <c r="B69" i="70"/>
  <c r="B26"/>
  <c r="B46" i="2"/>
  <c r="B69" i="38"/>
  <c r="B68"/>
  <c r="B70" s="1"/>
  <c r="B67"/>
  <c r="B60" i="19"/>
  <c r="B57" i="11"/>
  <c r="B52" i="38"/>
  <c r="C109" i="110"/>
  <c r="B109"/>
  <c r="J39" i="37"/>
  <c r="J38"/>
  <c r="J33"/>
  <c r="J35" s="1"/>
  <c r="J20"/>
  <c r="J19"/>
  <c r="F57" i="3"/>
  <c r="F56"/>
  <c r="X262" i="80" l="1"/>
  <c r="B45" i="246"/>
  <c r="C111"/>
  <c r="C114" s="1"/>
  <c r="M26" i="23"/>
  <c r="M28" s="1"/>
  <c r="R28" s="1"/>
  <c r="D32" i="189"/>
  <c r="J26"/>
  <c r="E27"/>
  <c r="J267" i="82"/>
  <c r="J24" i="189"/>
  <c r="J29"/>
  <c r="B38" i="190"/>
  <c r="B44" s="1"/>
  <c r="E23" i="189"/>
  <c r="I32"/>
  <c r="E25"/>
  <c r="G23"/>
  <c r="I29"/>
  <c r="B91" i="247"/>
  <c r="K28" i="23"/>
  <c r="B107" i="247"/>
  <c r="D25" i="189"/>
  <c r="J31"/>
  <c r="I26"/>
  <c r="J23"/>
  <c r="G29"/>
  <c r="D68" i="38"/>
  <c r="L24" i="37"/>
  <c r="L25" s="1"/>
  <c r="P36" i="36"/>
  <c r="X36" s="1"/>
  <c r="I22" i="189" s="1"/>
  <c r="I31"/>
  <c r="B23" i="192"/>
  <c r="H58" i="3" s="1"/>
  <c r="B42" i="250"/>
  <c r="C82" i="246"/>
  <c r="B89"/>
  <c r="I25" i="189"/>
  <c r="J266" i="79"/>
  <c r="B212"/>
  <c r="Y256" i="43"/>
  <c r="L271" i="78"/>
  <c r="Y265"/>
  <c r="B247" i="44"/>
  <c r="J261"/>
  <c r="L261"/>
  <c r="L264" s="1"/>
  <c r="L266" i="79"/>
  <c r="B255"/>
  <c r="Y277" i="70"/>
  <c r="J28" i="189"/>
  <c r="L260" i="77"/>
  <c r="B254"/>
  <c r="L272"/>
  <c r="Y266"/>
  <c r="J265" i="81"/>
  <c r="B213"/>
  <c r="Y271" i="82"/>
  <c r="H30" i="189" s="1"/>
  <c r="L265" i="81"/>
  <c r="B256"/>
  <c r="B32" i="189"/>
  <c r="Y270" i="79"/>
  <c r="J261" i="70"/>
  <c r="B212"/>
  <c r="B22" i="189"/>
  <c r="J271" i="78"/>
  <c r="B202" i="80"/>
  <c r="J260"/>
  <c r="J263" s="1"/>
  <c r="Y272" i="81"/>
  <c r="L278"/>
  <c r="Y267" i="70"/>
  <c r="L276"/>
  <c r="Y261"/>
  <c r="L272"/>
  <c r="T265" s="1"/>
  <c r="Y260" i="43"/>
  <c r="L268"/>
  <c r="Y258" i="80"/>
  <c r="Y259" i="44"/>
  <c r="Y265" i="70"/>
  <c r="L282"/>
  <c r="J277"/>
  <c r="J276"/>
  <c r="Y263" i="78"/>
  <c r="L268"/>
  <c r="T263" s="1"/>
  <c r="B253"/>
  <c r="J61" i="3"/>
  <c r="J260" i="77"/>
  <c r="B210"/>
  <c r="Y260" i="80"/>
  <c r="L266"/>
  <c r="J256" i="43"/>
  <c r="B204"/>
  <c r="J264" i="44"/>
  <c r="S259" s="1"/>
  <c r="I28" i="189"/>
  <c r="J22"/>
  <c r="G22"/>
  <c r="Y259" i="78"/>
  <c r="J278" i="81"/>
  <c r="G28" i="189"/>
  <c r="B210" i="78"/>
  <c r="J259"/>
  <c r="L254" i="80"/>
  <c r="B244"/>
  <c r="Y270" i="81"/>
  <c r="Y269" i="70"/>
  <c r="T269"/>
  <c r="L275"/>
  <c r="J282"/>
  <c r="Y272" i="79"/>
  <c r="L278"/>
  <c r="Y269" i="82"/>
  <c r="L277"/>
  <c r="B254"/>
  <c r="L263"/>
  <c r="L274" s="1"/>
  <c r="B210"/>
  <c r="J269"/>
  <c r="J271" s="1"/>
  <c r="L262" i="43"/>
  <c r="B246"/>
  <c r="B112" i="247"/>
  <c r="B115" s="1"/>
  <c r="B111" i="246"/>
  <c r="J55" i="3"/>
  <c r="B257" i="70"/>
  <c r="B205" i="44"/>
  <c r="X266" i="82"/>
  <c r="X264"/>
  <c r="X273"/>
  <c r="X274" i="81"/>
  <c r="X269" i="79"/>
  <c r="X274"/>
  <c r="X262" i="78"/>
  <c r="X260"/>
  <c r="X267"/>
  <c r="L55" i="3"/>
  <c r="M13" i="23"/>
  <c r="R13" s="1"/>
  <c r="K40"/>
  <c r="K42" s="1"/>
  <c r="B57" i="246"/>
  <c r="B58" s="1"/>
  <c r="B86"/>
  <c r="C67"/>
  <c r="B29" i="251"/>
  <c r="B42" s="1"/>
  <c r="B38" i="247"/>
  <c r="B93"/>
  <c r="H259" i="44"/>
  <c r="X259" s="1"/>
  <c r="H268" i="70"/>
  <c r="H277" s="1"/>
  <c r="H265"/>
  <c r="X265" s="1"/>
  <c r="H263" i="78"/>
  <c r="X263" s="1"/>
  <c r="L28" i="37"/>
  <c r="H267" i="82"/>
  <c r="X267" s="1"/>
  <c r="H264" i="77"/>
  <c r="X264" s="1"/>
  <c r="H258" i="80"/>
  <c r="X258" s="1"/>
  <c r="X271" i="70"/>
  <c r="X264"/>
  <c r="X263"/>
  <c r="W25" i="36"/>
  <c r="W19"/>
  <c r="H33" i="3"/>
  <c r="H48" s="1"/>
  <c r="X271" i="81"/>
  <c r="H259" i="80"/>
  <c r="X259" s="1"/>
  <c r="X271" i="79"/>
  <c r="B155"/>
  <c r="H272" s="1"/>
  <c r="X272" s="1"/>
  <c r="H264" i="78"/>
  <c r="X266" i="70"/>
  <c r="X257" i="44"/>
  <c r="X256"/>
  <c r="X263"/>
  <c r="X263" i="43"/>
  <c r="X258"/>
  <c r="B138" i="78"/>
  <c r="B139" s="1"/>
  <c r="H259" s="1"/>
  <c r="H37" i="3"/>
  <c r="H49" s="1"/>
  <c r="B141" i="70"/>
  <c r="B107" i="190"/>
  <c r="B136" i="43"/>
  <c r="B137" s="1"/>
  <c r="B140" i="79"/>
  <c r="B141" s="1"/>
  <c r="B167" s="1"/>
  <c r="B137" i="44"/>
  <c r="B138" s="1"/>
  <c r="H255" s="1"/>
  <c r="X255" s="1"/>
  <c r="B138" i="77"/>
  <c r="B139" s="1"/>
  <c r="B142" i="81"/>
  <c r="B143" s="1"/>
  <c r="H265" s="1"/>
  <c r="X261" i="80"/>
  <c r="I9" i="23"/>
  <c r="B105" i="190"/>
  <c r="B101"/>
  <c r="H270" i="81"/>
  <c r="X270" s="1"/>
  <c r="B100" i="190"/>
  <c r="B98"/>
  <c r="B97"/>
  <c r="B96"/>
  <c r="B104"/>
  <c r="B70"/>
  <c r="C70" s="1"/>
  <c r="B99"/>
  <c r="B103"/>
  <c r="L36" i="36"/>
  <c r="L21" i="37"/>
  <c r="H19" i="3"/>
  <c r="H270" i="79"/>
  <c r="I19" i="23"/>
  <c r="H12" i="3"/>
  <c r="H13" s="1"/>
  <c r="H43" s="1"/>
  <c r="B134" i="80"/>
  <c r="B135" s="1"/>
  <c r="B136" i="82"/>
  <c r="B137" s="1"/>
  <c r="H263" s="1"/>
  <c r="B148" i="80"/>
  <c r="H260" s="1"/>
  <c r="F42" i="189"/>
  <c r="B153" i="78"/>
  <c r="H265" s="1"/>
  <c r="X263" i="77"/>
  <c r="X267"/>
  <c r="B154" i="70"/>
  <c r="H267" s="1"/>
  <c r="I8" i="23"/>
  <c r="I26"/>
  <c r="H45" i="3"/>
  <c r="L40" i="37"/>
  <c r="I7" i="23"/>
  <c r="I11"/>
  <c r="I33"/>
  <c r="H44" i="3"/>
  <c r="H59"/>
  <c r="L41" i="36"/>
  <c r="B13" i="191"/>
  <c r="W34" i="36"/>
  <c r="I6" i="23"/>
  <c r="I10"/>
  <c r="Q16"/>
  <c r="I38"/>
  <c r="Q38" s="1"/>
  <c r="Q23"/>
  <c r="L26" i="36"/>
  <c r="B12" i="192"/>
  <c r="B13" s="1"/>
  <c r="H55" i="3" s="1"/>
  <c r="L16" i="36"/>
  <c r="L22"/>
  <c r="W21"/>
  <c r="B82" i="190"/>
  <c r="C74"/>
  <c r="B65"/>
  <c r="B67" s="1"/>
  <c r="C66" s="1"/>
  <c r="B83"/>
  <c r="B149" i="43" s="1"/>
  <c r="J40" i="37"/>
  <c r="J21"/>
  <c r="B54" i="2"/>
  <c r="C16" i="110"/>
  <c r="B15"/>
  <c r="B26" i="111" s="1"/>
  <c r="B14" i="110"/>
  <c r="B16" s="1"/>
  <c r="B89" s="1"/>
  <c r="B16" i="19"/>
  <c r="B65" i="11"/>
  <c r="B19"/>
  <c r="B16" i="38"/>
  <c r="B62" s="1"/>
  <c r="B18" i="2"/>
  <c r="B17"/>
  <c r="B53" s="1"/>
  <c r="B115" i="79"/>
  <c r="B117" s="1"/>
  <c r="F273" s="1"/>
  <c r="W273" s="1"/>
  <c r="B98" i="70"/>
  <c r="B97"/>
  <c r="B96"/>
  <c r="B95"/>
  <c r="B94"/>
  <c r="B93"/>
  <c r="B92"/>
  <c r="B96" i="44"/>
  <c r="B95"/>
  <c r="B94"/>
  <c r="B93"/>
  <c r="B92"/>
  <c r="B91"/>
  <c r="B90"/>
  <c r="F272" i="82"/>
  <c r="F265"/>
  <c r="F266"/>
  <c r="W266" s="1"/>
  <c r="B98"/>
  <c r="F264" s="1"/>
  <c r="B94"/>
  <c r="B93"/>
  <c r="B92"/>
  <c r="B91"/>
  <c r="B90"/>
  <c r="B89"/>
  <c r="B88"/>
  <c r="B118"/>
  <c r="F273" s="1"/>
  <c r="B113"/>
  <c r="F273" i="81"/>
  <c r="W273" s="1"/>
  <c r="U43" i="189" s="1"/>
  <c r="F268" i="81"/>
  <c r="W268" s="1"/>
  <c r="F43" i="189" s="1"/>
  <c r="F267" i="81"/>
  <c r="W267" s="1"/>
  <c r="O43" i="189" s="1"/>
  <c r="F266" i="81"/>
  <c r="W266" s="1"/>
  <c r="B110"/>
  <c r="F269"/>
  <c r="W269" s="1"/>
  <c r="B98"/>
  <c r="B97"/>
  <c r="B96"/>
  <c r="B95"/>
  <c r="B94"/>
  <c r="B93"/>
  <c r="B92"/>
  <c r="B123"/>
  <c r="F274" s="1"/>
  <c r="W274" s="1"/>
  <c r="X43" i="189" s="1"/>
  <c r="B118" i="81"/>
  <c r="B105"/>
  <c r="F261" i="80"/>
  <c r="W261" s="1"/>
  <c r="F256"/>
  <c r="W256" s="1"/>
  <c r="B106"/>
  <c r="F257"/>
  <c r="W257" s="1"/>
  <c r="B98"/>
  <c r="B101" s="1"/>
  <c r="B94"/>
  <c r="B93"/>
  <c r="B92"/>
  <c r="B91"/>
  <c r="B90"/>
  <c r="B89"/>
  <c r="B88"/>
  <c r="B118"/>
  <c r="F262" s="1"/>
  <c r="W262" s="1"/>
  <c r="B113"/>
  <c r="F268" i="79"/>
  <c r="W268" s="1"/>
  <c r="F269"/>
  <c r="W269" s="1"/>
  <c r="B101"/>
  <c r="F267" s="1"/>
  <c r="W267" s="1"/>
  <c r="B97"/>
  <c r="B96"/>
  <c r="B95"/>
  <c r="B94"/>
  <c r="B93"/>
  <c r="B92"/>
  <c r="B91"/>
  <c r="B122"/>
  <c r="F274" s="1"/>
  <c r="W274" s="1"/>
  <c r="F261" i="78"/>
  <c r="W261" s="1"/>
  <c r="F40" i="189" s="1"/>
  <c r="F260" i="78"/>
  <c r="W260" s="1"/>
  <c r="O40" i="189" s="1"/>
  <c r="B114" i="78"/>
  <c r="B116" s="1"/>
  <c r="F266" s="1"/>
  <c r="W266" s="1"/>
  <c r="U40" i="189" s="1"/>
  <c r="F262" i="78"/>
  <c r="W262" s="1"/>
  <c r="B96"/>
  <c r="B95"/>
  <c r="B94"/>
  <c r="B93"/>
  <c r="B92"/>
  <c r="B91"/>
  <c r="B90"/>
  <c r="B121"/>
  <c r="F267" s="1"/>
  <c r="W267" s="1"/>
  <c r="B103"/>
  <c r="B260"/>
  <c r="D260"/>
  <c r="B261"/>
  <c r="D261"/>
  <c r="B266"/>
  <c r="D266"/>
  <c r="F267" i="77"/>
  <c r="W267" s="1"/>
  <c r="U39" i="189" s="1"/>
  <c r="F262" i="77"/>
  <c r="W262" s="1"/>
  <c r="F39" i="189" s="1"/>
  <c r="F261" i="77"/>
  <c r="W261" s="1"/>
  <c r="O39" i="189" s="1"/>
  <c r="B108" i="77"/>
  <c r="F263"/>
  <c r="W263" s="1"/>
  <c r="B96"/>
  <c r="B95"/>
  <c r="B94"/>
  <c r="B93"/>
  <c r="B92"/>
  <c r="B91"/>
  <c r="B90"/>
  <c r="B122"/>
  <c r="F268" s="1"/>
  <c r="W268" s="1"/>
  <c r="X39" i="189" s="1"/>
  <c r="B117" i="77"/>
  <c r="B103"/>
  <c r="F263" i="70"/>
  <c r="W263" s="1"/>
  <c r="F262"/>
  <c r="W262" s="1"/>
  <c r="F268"/>
  <c r="W268" s="1"/>
  <c r="F264"/>
  <c r="W264" s="1"/>
  <c r="B124"/>
  <c r="F271" s="1"/>
  <c r="W271" s="1"/>
  <c r="B119"/>
  <c r="F270" s="1"/>
  <c r="W270" s="1"/>
  <c r="B105"/>
  <c r="F262" i="44"/>
  <c r="F257"/>
  <c r="W257" s="1"/>
  <c r="F256"/>
  <c r="F258"/>
  <c r="W258" s="1"/>
  <c r="B120"/>
  <c r="F263" s="1"/>
  <c r="W263" s="1"/>
  <c r="B115"/>
  <c r="B103"/>
  <c r="B256"/>
  <c r="D256"/>
  <c r="B257"/>
  <c r="D257"/>
  <c r="B262"/>
  <c r="D262"/>
  <c r="B263"/>
  <c r="F263" i="43"/>
  <c r="W263" s="1"/>
  <c r="F258"/>
  <c r="W258" s="1"/>
  <c r="F45" i="189" s="1"/>
  <c r="F257" i="43"/>
  <c r="W257" s="1"/>
  <c r="F259"/>
  <c r="W259" s="1"/>
  <c r="B95"/>
  <c r="B94"/>
  <c r="B93"/>
  <c r="B92"/>
  <c r="B91"/>
  <c r="B90"/>
  <c r="B89"/>
  <c r="B119"/>
  <c r="F264" s="1"/>
  <c r="W264" s="1"/>
  <c r="B115"/>
  <c r="B102"/>
  <c r="G37" i="23"/>
  <c r="G36"/>
  <c r="G31"/>
  <c r="G18"/>
  <c r="P18" s="1"/>
  <c r="G16"/>
  <c r="P16" s="1"/>
  <c r="B23" i="111"/>
  <c r="B12"/>
  <c r="B11"/>
  <c r="B10"/>
  <c r="B9"/>
  <c r="B8"/>
  <c r="B7"/>
  <c r="B6"/>
  <c r="B39"/>
  <c r="F63" i="3" s="1"/>
  <c r="B34" i="111"/>
  <c r="F62" i="3" s="1"/>
  <c r="B19" i="111"/>
  <c r="F36" i="3"/>
  <c r="F35"/>
  <c r="F32"/>
  <c r="F31"/>
  <c r="F22"/>
  <c r="F46" s="1"/>
  <c r="F18"/>
  <c r="F45" s="1"/>
  <c r="F17"/>
  <c r="F16"/>
  <c r="F12"/>
  <c r="F11"/>
  <c r="F10"/>
  <c r="F9"/>
  <c r="F8"/>
  <c r="F7"/>
  <c r="F6"/>
  <c r="J40" i="36"/>
  <c r="J39"/>
  <c r="J35"/>
  <c r="J34"/>
  <c r="V34" s="1"/>
  <c r="J25"/>
  <c r="J21"/>
  <c r="V21" s="1"/>
  <c r="J20"/>
  <c r="J19"/>
  <c r="V19" s="1"/>
  <c r="J15"/>
  <c r="J14"/>
  <c r="J13"/>
  <c r="J12"/>
  <c r="J11"/>
  <c r="J10"/>
  <c r="J9"/>
  <c r="B80" i="110"/>
  <c r="C80" s="1"/>
  <c r="B84" s="1"/>
  <c r="B76"/>
  <c r="B72"/>
  <c r="B87" s="1"/>
  <c r="B108" i="44" s="1"/>
  <c r="B71" i="110"/>
  <c r="B57"/>
  <c r="B34"/>
  <c r="B30"/>
  <c r="B24"/>
  <c r="B20"/>
  <c r="B77" s="1"/>
  <c r="B69"/>
  <c r="B11"/>
  <c r="B39" i="109"/>
  <c r="B34"/>
  <c r="B19"/>
  <c r="B13"/>
  <c r="D272" i="82"/>
  <c r="E272" s="1"/>
  <c r="B272"/>
  <c r="D265"/>
  <c r="B265"/>
  <c r="D264"/>
  <c r="B264"/>
  <c r="B77"/>
  <c r="B72"/>
  <c r="D268"/>
  <c r="D267"/>
  <c r="B62"/>
  <c r="D266" s="1"/>
  <c r="B60"/>
  <c r="B53"/>
  <c r="B52"/>
  <c r="B51"/>
  <c r="B50"/>
  <c r="B49"/>
  <c r="B48"/>
  <c r="B47"/>
  <c r="B36"/>
  <c r="B273" s="1"/>
  <c r="B32"/>
  <c r="B268"/>
  <c r="B21"/>
  <c r="B266" s="1"/>
  <c r="B19"/>
  <c r="B12"/>
  <c r="B11"/>
  <c r="B10"/>
  <c r="B9"/>
  <c r="B8"/>
  <c r="B7"/>
  <c r="B6"/>
  <c r="D273" i="81"/>
  <c r="B273"/>
  <c r="D268"/>
  <c r="B268"/>
  <c r="X40" i="189" l="1"/>
  <c r="X42"/>
  <c r="U42"/>
  <c r="J274" i="82"/>
  <c r="V263" i="44"/>
  <c r="M263"/>
  <c r="K263"/>
  <c r="D115" i="247"/>
  <c r="R26" i="23"/>
  <c r="F28" i="189" s="1"/>
  <c r="V266" i="82"/>
  <c r="E14" i="189" s="1"/>
  <c r="Q46" s="1"/>
  <c r="M266" i="82"/>
  <c r="K266"/>
  <c r="M266" i="78"/>
  <c r="K266"/>
  <c r="M265" i="82"/>
  <c r="K265"/>
  <c r="V257" i="44"/>
  <c r="K257"/>
  <c r="M257"/>
  <c r="V268" i="82"/>
  <c r="M268"/>
  <c r="K268"/>
  <c r="V264"/>
  <c r="C14" i="189" s="1"/>
  <c r="N46" s="1"/>
  <c r="K264" i="82"/>
  <c r="M264"/>
  <c r="V256" i="44"/>
  <c r="M256"/>
  <c r="K256"/>
  <c r="V261" i="78"/>
  <c r="Z261" s="1"/>
  <c r="K261"/>
  <c r="M261"/>
  <c r="B19" i="2"/>
  <c r="C112" i="247"/>
  <c r="C115" s="1"/>
  <c r="B45"/>
  <c r="V273" i="82"/>
  <c r="J14" i="189" s="1"/>
  <c r="W46" s="1"/>
  <c r="M273" i="82"/>
  <c r="K273"/>
  <c r="I263" i="44"/>
  <c r="E265" i="82"/>
  <c r="B68" i="110"/>
  <c r="V260" i="78"/>
  <c r="K260"/>
  <c r="M260"/>
  <c r="M272" i="82"/>
  <c r="K272"/>
  <c r="K262" i="44"/>
  <c r="M262"/>
  <c r="B90" i="246"/>
  <c r="B92" s="1"/>
  <c r="V268" i="81"/>
  <c r="Z268" s="1"/>
  <c r="M268"/>
  <c r="K268"/>
  <c r="V273"/>
  <c r="Z273" s="1"/>
  <c r="M273"/>
  <c r="K273"/>
  <c r="D111" i="246"/>
  <c r="T264" i="44"/>
  <c r="T258"/>
  <c r="T262"/>
  <c r="T256"/>
  <c r="Y264"/>
  <c r="T263"/>
  <c r="T257"/>
  <c r="T260"/>
  <c r="L268"/>
  <c r="T255"/>
  <c r="T259"/>
  <c r="B28" i="189"/>
  <c r="Y278" i="79"/>
  <c r="J268" i="78"/>
  <c r="S264" i="44"/>
  <c r="S262"/>
  <c r="S260"/>
  <c r="S258"/>
  <c r="S256"/>
  <c r="J268"/>
  <c r="S263"/>
  <c r="S257"/>
  <c r="J265" i="43"/>
  <c r="H26" i="189"/>
  <c r="Y268" i="78"/>
  <c r="L272"/>
  <c r="T268"/>
  <c r="T266"/>
  <c r="T264"/>
  <c r="T262"/>
  <c r="T260"/>
  <c r="T267"/>
  <c r="T261"/>
  <c r="F25" i="189"/>
  <c r="H23"/>
  <c r="Y260" i="77"/>
  <c r="L269"/>
  <c r="S261" i="44"/>
  <c r="J267"/>
  <c r="J275" i="79"/>
  <c r="S266" s="1"/>
  <c r="T265" i="78"/>
  <c r="H25" i="189"/>
  <c r="J269" i="77"/>
  <c r="S260" s="1"/>
  <c r="F24" i="189"/>
  <c r="F29"/>
  <c r="T272" i="70"/>
  <c r="T264"/>
  <c r="Y272"/>
  <c r="L278"/>
  <c r="T270"/>
  <c r="T266"/>
  <c r="T262"/>
  <c r="T271"/>
  <c r="T263"/>
  <c r="L283"/>
  <c r="T268"/>
  <c r="Y278" i="81"/>
  <c r="Y265"/>
  <c r="L275"/>
  <c r="J275"/>
  <c r="S265" s="1"/>
  <c r="Y266" i="79"/>
  <c r="L275"/>
  <c r="T266" s="1"/>
  <c r="B29" i="189"/>
  <c r="S255" i="44"/>
  <c r="T267" i="70"/>
  <c r="Y262" i="43"/>
  <c r="L269"/>
  <c r="Y275" i="70"/>
  <c r="F27" i="189"/>
  <c r="Y254" i="80"/>
  <c r="L263"/>
  <c r="T254" s="1"/>
  <c r="B24" i="189"/>
  <c r="K28"/>
  <c r="H28"/>
  <c r="F32"/>
  <c r="F26"/>
  <c r="B31"/>
  <c r="Y276" i="70"/>
  <c r="H27" i="189"/>
  <c r="J272" i="70"/>
  <c r="J267" i="80"/>
  <c r="S256"/>
  <c r="S262"/>
  <c r="S261"/>
  <c r="S263"/>
  <c r="S259"/>
  <c r="S255"/>
  <c r="S257"/>
  <c r="Y261" i="44"/>
  <c r="T261"/>
  <c r="L267"/>
  <c r="H24" i="189"/>
  <c r="J64" i="3"/>
  <c r="U61" s="1"/>
  <c r="Y266" i="80"/>
  <c r="F31" i="189"/>
  <c r="Y268" i="43"/>
  <c r="S260" i="80"/>
  <c r="J266"/>
  <c r="Y272" i="77"/>
  <c r="Y271" i="78"/>
  <c r="T259"/>
  <c r="S258" i="80"/>
  <c r="T261" i="70"/>
  <c r="S254" i="80"/>
  <c r="J277" i="82"/>
  <c r="Y277"/>
  <c r="K30" i="189" s="1"/>
  <c r="Y263" i="82"/>
  <c r="B30" i="189" s="1"/>
  <c r="T271" i="82"/>
  <c r="S271"/>
  <c r="D112" i="247"/>
  <c r="L265" i="43"/>
  <c r="B114" i="246"/>
  <c r="D114" s="1"/>
  <c r="B60"/>
  <c r="B27" i="244"/>
  <c r="I266" i="82"/>
  <c r="V265"/>
  <c r="I265"/>
  <c r="I264"/>
  <c r="I273"/>
  <c r="V272"/>
  <c r="I272"/>
  <c r="Z266"/>
  <c r="E268" i="81"/>
  <c r="I268"/>
  <c r="I11" i="189"/>
  <c r="T43" s="1"/>
  <c r="D11"/>
  <c r="E43" s="1"/>
  <c r="I273" i="81"/>
  <c r="D8" i="189"/>
  <c r="E40" s="1"/>
  <c r="I261" i="78"/>
  <c r="V266"/>
  <c r="Z266" s="1"/>
  <c r="I266"/>
  <c r="I260"/>
  <c r="B168" i="70"/>
  <c r="H261"/>
  <c r="I256" i="44"/>
  <c r="L64" i="3"/>
  <c r="M40" i="23"/>
  <c r="R40" s="1"/>
  <c r="B57" i="247"/>
  <c r="B59" s="1"/>
  <c r="X268" i="70"/>
  <c r="H282"/>
  <c r="H269"/>
  <c r="X269" s="1"/>
  <c r="H278" i="79"/>
  <c r="X278" s="1"/>
  <c r="W36" i="36"/>
  <c r="W41"/>
  <c r="W16"/>
  <c r="X264" i="78"/>
  <c r="B165"/>
  <c r="V262" i="44"/>
  <c r="Z262" s="1"/>
  <c r="I262"/>
  <c r="I257"/>
  <c r="O45" i="189"/>
  <c r="H260" i="43"/>
  <c r="B102" i="190"/>
  <c r="X263" i="82"/>
  <c r="H276" i="70"/>
  <c r="X267"/>
  <c r="B160" i="80"/>
  <c r="H254"/>
  <c r="X265" i="81"/>
  <c r="X259" i="78"/>
  <c r="H268"/>
  <c r="X277" i="70"/>
  <c r="X265" i="78"/>
  <c r="H271"/>
  <c r="H266" i="79"/>
  <c r="X260" i="80"/>
  <c r="H266"/>
  <c r="X270" i="79"/>
  <c r="G264" i="82"/>
  <c r="W264"/>
  <c r="G272"/>
  <c r="W272"/>
  <c r="E264"/>
  <c r="G273"/>
  <c r="W273"/>
  <c r="F268"/>
  <c r="W268" s="1"/>
  <c r="G265"/>
  <c r="W265"/>
  <c r="G14" i="189"/>
  <c r="X41"/>
  <c r="U41"/>
  <c r="O41"/>
  <c r="F41"/>
  <c r="B104" i="79"/>
  <c r="H260" i="77"/>
  <c r="U47" i="189"/>
  <c r="F47"/>
  <c r="X47"/>
  <c r="O47"/>
  <c r="E262" i="44"/>
  <c r="E256"/>
  <c r="F48" i="189"/>
  <c r="G256" i="44"/>
  <c r="W256"/>
  <c r="X48" i="189"/>
  <c r="G262" i="44"/>
  <c r="W262"/>
  <c r="B61" i="110"/>
  <c r="B27" i="109" s="1"/>
  <c r="J30" i="36" s="1"/>
  <c r="V30" s="1"/>
  <c r="L15" i="37"/>
  <c r="L16" s="1"/>
  <c r="I12" i="23"/>
  <c r="I13" s="1"/>
  <c r="Q26"/>
  <c r="H256" i="43"/>
  <c r="X256" s="1"/>
  <c r="X45" i="189"/>
  <c r="U45"/>
  <c r="B85" i="190"/>
  <c r="B87" s="1"/>
  <c r="F59" i="3"/>
  <c r="C106" i="190"/>
  <c r="B56"/>
  <c r="B57" s="1"/>
  <c r="O38" i="189"/>
  <c r="R46"/>
  <c r="F38"/>
  <c r="O44"/>
  <c r="R47"/>
  <c r="R41"/>
  <c r="F44"/>
  <c r="R48"/>
  <c r="R43"/>
  <c r="R45"/>
  <c r="R39"/>
  <c r="R40"/>
  <c r="R42"/>
  <c r="G257" i="44"/>
  <c r="E257"/>
  <c r="G263"/>
  <c r="G33" i="23"/>
  <c r="P31"/>
  <c r="J26" i="36"/>
  <c r="V25"/>
  <c r="E268" i="82"/>
  <c r="B101"/>
  <c r="E273" i="81"/>
  <c r="G266" i="78"/>
  <c r="E260"/>
  <c r="G261"/>
  <c r="G260"/>
  <c r="B99" i="81"/>
  <c r="F265" s="1"/>
  <c r="W265" s="1"/>
  <c r="B97" i="44"/>
  <c r="F255" s="1"/>
  <c r="W255" s="1"/>
  <c r="B73" i="110"/>
  <c r="G26" i="23"/>
  <c r="P26" s="1"/>
  <c r="F255" i="80"/>
  <c r="W255" s="1"/>
  <c r="O42" i="189" s="1"/>
  <c r="B103" i="110"/>
  <c r="B38"/>
  <c r="B45" s="1"/>
  <c r="E261" i="78"/>
  <c r="G268" i="81"/>
  <c r="J28" i="37"/>
  <c r="G273" i="81"/>
  <c r="B27" i="82"/>
  <c r="J36" i="36"/>
  <c r="V36" s="1"/>
  <c r="B105" i="43"/>
  <c r="F264" i="77"/>
  <c r="W264" s="1"/>
  <c r="B98" i="110"/>
  <c r="G38" i="23"/>
  <c r="P38" s="1"/>
  <c r="B107" i="110"/>
  <c r="F265" i="70"/>
  <c r="B106" i="110"/>
  <c r="F270" i="81"/>
  <c r="W270" s="1"/>
  <c r="B102" i="110"/>
  <c r="B108" i="82"/>
  <c r="B105" i="110"/>
  <c r="F263" i="78"/>
  <c r="W263" s="1"/>
  <c r="B99" i="110"/>
  <c r="F270" i="79"/>
  <c r="W270" s="1"/>
  <c r="B100" i="110"/>
  <c r="F258" i="80"/>
  <c r="W258" s="1"/>
  <c r="B101" i="110"/>
  <c r="G7" i="23"/>
  <c r="J10" i="37"/>
  <c r="G9" i="23"/>
  <c r="J12" i="37"/>
  <c r="G11" i="23"/>
  <c r="J14" i="37"/>
  <c r="G22" i="23"/>
  <c r="G23" s="1"/>
  <c r="P23" s="1"/>
  <c r="J24" i="37"/>
  <c r="J25" s="1"/>
  <c r="F58" i="3"/>
  <c r="J22" i="36"/>
  <c r="G6" i="23"/>
  <c r="J9" i="37"/>
  <c r="G8" i="23"/>
  <c r="J11" i="37"/>
  <c r="G10" i="23"/>
  <c r="J13" i="37"/>
  <c r="G12" i="23"/>
  <c r="J15" i="37"/>
  <c r="J16" i="36"/>
  <c r="V16" s="1"/>
  <c r="F19" i="3"/>
  <c r="F33"/>
  <c r="F48" s="1"/>
  <c r="B97" i="77"/>
  <c r="B98" i="79"/>
  <c r="F37" i="3"/>
  <c r="F49" s="1"/>
  <c r="B13" i="111"/>
  <c r="F55" i="3" s="1"/>
  <c r="J41" i="36"/>
  <c r="V41" s="1"/>
  <c r="F13" i="3"/>
  <c r="F43" s="1"/>
  <c r="B97" i="78"/>
  <c r="F259" s="1"/>
  <c r="W259" s="1"/>
  <c r="B95" i="80"/>
  <c r="F277" i="70"/>
  <c r="W277" s="1"/>
  <c r="G266" i="82"/>
  <c r="F23" i="3"/>
  <c r="F44"/>
  <c r="G19" i="23"/>
  <c r="B95" i="82"/>
  <c r="F263" s="1"/>
  <c r="F267"/>
  <c r="W267" s="1"/>
  <c r="F259" i="44"/>
  <c r="W259" s="1"/>
  <c r="B22" i="82"/>
  <c r="D269"/>
  <c r="E266" i="78"/>
  <c r="B99" i="70"/>
  <c r="F261" s="1"/>
  <c r="B96" i="43"/>
  <c r="F256" s="1"/>
  <c r="W256" s="1"/>
  <c r="B85" i="110"/>
  <c r="B70"/>
  <c r="C69" s="1"/>
  <c r="C77"/>
  <c r="C73"/>
  <c r="B86"/>
  <c r="B13" i="82"/>
  <c r="B263" s="1"/>
  <c r="E266"/>
  <c r="B67"/>
  <c r="B267"/>
  <c r="B54"/>
  <c r="D263" s="1"/>
  <c r="D266" i="81"/>
  <c r="B266"/>
  <c r="B80"/>
  <c r="B75"/>
  <c r="B64"/>
  <c r="D269" s="1"/>
  <c r="B60"/>
  <c r="B62" s="1"/>
  <c r="B55"/>
  <c r="B54"/>
  <c r="B53"/>
  <c r="B52"/>
  <c r="B51"/>
  <c r="B50"/>
  <c r="B49"/>
  <c r="B37"/>
  <c r="B274" s="1"/>
  <c r="B33"/>
  <c r="B271"/>
  <c r="B25"/>
  <c r="B270" s="1"/>
  <c r="B21"/>
  <c r="B269" s="1"/>
  <c r="B17"/>
  <c r="B19" s="1"/>
  <c r="B12"/>
  <c r="B11"/>
  <c r="B10"/>
  <c r="B9"/>
  <c r="B8"/>
  <c r="B7"/>
  <c r="B6"/>
  <c r="D261" i="80"/>
  <c r="B261"/>
  <c r="D256"/>
  <c r="B256"/>
  <c r="D255"/>
  <c r="B255"/>
  <c r="B77"/>
  <c r="B72"/>
  <c r="B65"/>
  <c r="D258" s="1"/>
  <c r="B62"/>
  <c r="D257" s="1"/>
  <c r="B60"/>
  <c r="B53"/>
  <c r="B52"/>
  <c r="B51"/>
  <c r="B50"/>
  <c r="B49"/>
  <c r="B48"/>
  <c r="B47"/>
  <c r="B36"/>
  <c r="B262" s="1"/>
  <c r="G262" s="1"/>
  <c r="B32"/>
  <c r="B259"/>
  <c r="B25"/>
  <c r="B27" s="1"/>
  <c r="B21"/>
  <c r="B257" s="1"/>
  <c r="B19"/>
  <c r="B12"/>
  <c r="B11"/>
  <c r="B10"/>
  <c r="B9"/>
  <c r="B8"/>
  <c r="B7"/>
  <c r="B6"/>
  <c r="D273" i="79"/>
  <c r="B273"/>
  <c r="D268"/>
  <c r="B268"/>
  <c r="D267"/>
  <c r="B267"/>
  <c r="B79"/>
  <c r="B74"/>
  <c r="D270"/>
  <c r="B63"/>
  <c r="D269" s="1"/>
  <c r="B61"/>
  <c r="B54"/>
  <c r="B53"/>
  <c r="B52"/>
  <c r="B51"/>
  <c r="B50"/>
  <c r="B49"/>
  <c r="B48"/>
  <c r="B37"/>
  <c r="B274" s="1"/>
  <c r="B33"/>
  <c r="B271"/>
  <c r="B270"/>
  <c r="B21"/>
  <c r="B269" s="1"/>
  <c r="B19"/>
  <c r="B12"/>
  <c r="B11"/>
  <c r="B10"/>
  <c r="B9"/>
  <c r="B8"/>
  <c r="B7"/>
  <c r="B6"/>
  <c r="B79" i="78"/>
  <c r="D267" s="1"/>
  <c r="B74"/>
  <c r="B63"/>
  <c r="D262" s="1"/>
  <c r="B61"/>
  <c r="B54"/>
  <c r="B53"/>
  <c r="B52"/>
  <c r="B51"/>
  <c r="B50"/>
  <c r="B49"/>
  <c r="B48"/>
  <c r="B37"/>
  <c r="B267" s="1"/>
  <c r="B33"/>
  <c r="B264"/>
  <c r="B263"/>
  <c r="B21"/>
  <c r="B262" s="1"/>
  <c r="B19"/>
  <c r="B12"/>
  <c r="B11"/>
  <c r="B10"/>
  <c r="B9"/>
  <c r="B8"/>
  <c r="B7"/>
  <c r="B6"/>
  <c r="D267" i="77"/>
  <c r="B267"/>
  <c r="D262"/>
  <c r="B262"/>
  <c r="D261"/>
  <c r="B261"/>
  <c r="B81"/>
  <c r="B76"/>
  <c r="B67"/>
  <c r="B64"/>
  <c r="D263" s="1"/>
  <c r="B62"/>
  <c r="B55"/>
  <c r="B54"/>
  <c r="B53"/>
  <c r="B52"/>
  <c r="B51"/>
  <c r="B50"/>
  <c r="B49"/>
  <c r="B38"/>
  <c r="B268" s="1"/>
  <c r="B34"/>
  <c r="B265"/>
  <c r="B25"/>
  <c r="B264" s="1"/>
  <c r="B21"/>
  <c r="B263" s="1"/>
  <c r="B19"/>
  <c r="B12"/>
  <c r="B11"/>
  <c r="B10"/>
  <c r="B9"/>
  <c r="B8"/>
  <c r="B7"/>
  <c r="B6"/>
  <c r="D270" i="70"/>
  <c r="B270"/>
  <c r="B264"/>
  <c r="D263"/>
  <c r="B263"/>
  <c r="D262"/>
  <c r="B262"/>
  <c r="B82"/>
  <c r="B77"/>
  <c r="B72"/>
  <c r="B68"/>
  <c r="D265" s="1"/>
  <c r="B65"/>
  <c r="D264" s="1"/>
  <c r="B63"/>
  <c r="B56"/>
  <c r="B55"/>
  <c r="B54"/>
  <c r="B53"/>
  <c r="B52"/>
  <c r="B51"/>
  <c r="B50"/>
  <c r="B39"/>
  <c r="B271" s="1"/>
  <c r="B34"/>
  <c r="B29"/>
  <c r="B266"/>
  <c r="B25"/>
  <c r="B265" s="1"/>
  <c r="B22"/>
  <c r="B19"/>
  <c r="M261" i="77" l="1"/>
  <c r="K261"/>
  <c r="M271" i="79"/>
  <c r="K271"/>
  <c r="M267" i="77"/>
  <c r="K267"/>
  <c r="K269" i="81"/>
  <c r="M269"/>
  <c r="J16" i="189"/>
  <c r="W48" s="1"/>
  <c r="Z263" i="44"/>
  <c r="I270" i="70"/>
  <c r="M270"/>
  <c r="K270"/>
  <c r="G257" i="80"/>
  <c r="M257"/>
  <c r="K257"/>
  <c r="V257"/>
  <c r="I257"/>
  <c r="Z264" i="82"/>
  <c r="V264" i="78"/>
  <c r="K264"/>
  <c r="M264"/>
  <c r="I264" i="70"/>
  <c r="M264"/>
  <c r="K264"/>
  <c r="K266" i="81"/>
  <c r="M266"/>
  <c r="M262" i="78"/>
  <c r="K262"/>
  <c r="M269" i="79"/>
  <c r="K269"/>
  <c r="M255" i="80"/>
  <c r="K255"/>
  <c r="V255"/>
  <c r="I255"/>
  <c r="K271" i="81"/>
  <c r="M271"/>
  <c r="C8" i="189"/>
  <c r="N40" s="1"/>
  <c r="Z260" i="78"/>
  <c r="C16" i="189"/>
  <c r="N48" s="1"/>
  <c r="Z256" i="44"/>
  <c r="M266" i="70"/>
  <c r="K266"/>
  <c r="K263" i="77"/>
  <c r="M263"/>
  <c r="M267" i="79"/>
  <c r="K267"/>
  <c r="M259" i="80"/>
  <c r="V259"/>
  <c r="K259"/>
  <c r="D16" i="189"/>
  <c r="E48" s="1"/>
  <c r="Z257" i="44"/>
  <c r="I262" i="70"/>
  <c r="K262"/>
  <c r="M262"/>
  <c r="G256" i="80"/>
  <c r="M256"/>
  <c r="K256"/>
  <c r="I256"/>
  <c r="V256"/>
  <c r="V265" i="77"/>
  <c r="K265"/>
  <c r="M265"/>
  <c r="K268" i="79"/>
  <c r="M268"/>
  <c r="I271" i="70"/>
  <c r="K271"/>
  <c r="M271"/>
  <c r="I263"/>
  <c r="K263"/>
  <c r="M263"/>
  <c r="K262" i="77"/>
  <c r="M262"/>
  <c r="M267" i="78"/>
  <c r="K267"/>
  <c r="I274" i="79"/>
  <c r="M274"/>
  <c r="K274"/>
  <c r="E268"/>
  <c r="G261" i="80"/>
  <c r="K261"/>
  <c r="M261"/>
  <c r="V261"/>
  <c r="I261"/>
  <c r="M274" i="81"/>
  <c r="K274"/>
  <c r="V262" i="80"/>
  <c r="M262"/>
  <c r="K262"/>
  <c r="I262"/>
  <c r="E256"/>
  <c r="K268" i="77"/>
  <c r="M268"/>
  <c r="I273" i="79"/>
  <c r="K273"/>
  <c r="M273"/>
  <c r="Z273" i="82"/>
  <c r="I259" i="80"/>
  <c r="W263" i="82"/>
  <c r="J283" i="70"/>
  <c r="S269"/>
  <c r="S268"/>
  <c r="S272"/>
  <c r="S266"/>
  <c r="S267"/>
  <c r="J278"/>
  <c r="S262"/>
  <c r="S263"/>
  <c r="S265"/>
  <c r="S270"/>
  <c r="S271"/>
  <c r="S264"/>
  <c r="B26" i="189"/>
  <c r="H31"/>
  <c r="K31"/>
  <c r="Y275" i="81"/>
  <c r="T268"/>
  <c r="T269"/>
  <c r="T274"/>
  <c r="T266"/>
  <c r="T273"/>
  <c r="L279"/>
  <c r="T275"/>
  <c r="T271"/>
  <c r="T267"/>
  <c r="T272"/>
  <c r="T270"/>
  <c r="K27" i="189"/>
  <c r="L279" i="70"/>
  <c r="Y278"/>
  <c r="L273" i="78"/>
  <c r="Y272"/>
  <c r="J270" i="43"/>
  <c r="R263"/>
  <c r="R259"/>
  <c r="R264"/>
  <c r="R265"/>
  <c r="R261"/>
  <c r="R257"/>
  <c r="R258"/>
  <c r="R262"/>
  <c r="R260"/>
  <c r="S267" i="78"/>
  <c r="S261"/>
  <c r="J272"/>
  <c r="S268"/>
  <c r="S266"/>
  <c r="S264"/>
  <c r="S262"/>
  <c r="S260"/>
  <c r="S263"/>
  <c r="S265"/>
  <c r="K25" i="189"/>
  <c r="M270" i="81"/>
  <c r="K270"/>
  <c r="V64" i="3"/>
  <c r="V63"/>
  <c r="V61"/>
  <c r="V59"/>
  <c r="V62"/>
  <c r="V58"/>
  <c r="V57"/>
  <c r="V60"/>
  <c r="V56"/>
  <c r="Y267" i="44"/>
  <c r="J268" i="80"/>
  <c r="H29" i="189"/>
  <c r="B25"/>
  <c r="B23"/>
  <c r="L269" i="44"/>
  <c r="Y268"/>
  <c r="V55" i="3"/>
  <c r="U55"/>
  <c r="T265" i="81"/>
  <c r="U64" i="3"/>
  <c r="U62"/>
  <c r="U57"/>
  <c r="U63"/>
  <c r="U60"/>
  <c r="U58"/>
  <c r="U56"/>
  <c r="U59"/>
  <c r="I264" i="77"/>
  <c r="M264"/>
  <c r="K264"/>
  <c r="X260" i="43"/>
  <c r="H268"/>
  <c r="X268" s="1"/>
  <c r="L28" i="189"/>
  <c r="S265" i="43"/>
  <c r="S261"/>
  <c r="S257"/>
  <c r="S263"/>
  <c r="S259"/>
  <c r="Y265"/>
  <c r="L270"/>
  <c r="S258"/>
  <c r="S264"/>
  <c r="S256"/>
  <c r="S260"/>
  <c r="K24" i="189"/>
  <c r="H32"/>
  <c r="L279" i="79"/>
  <c r="T271"/>
  <c r="T273"/>
  <c r="T267"/>
  <c r="T274"/>
  <c r="T268"/>
  <c r="Y275"/>
  <c r="T275"/>
  <c r="T269"/>
  <c r="T272"/>
  <c r="T270"/>
  <c r="B27" i="189"/>
  <c r="L284" i="70"/>
  <c r="J279" i="79"/>
  <c r="S275"/>
  <c r="S273"/>
  <c r="S271"/>
  <c r="S269"/>
  <c r="S267"/>
  <c r="S274"/>
  <c r="S268"/>
  <c r="S272"/>
  <c r="S270"/>
  <c r="Y269" i="77"/>
  <c r="T268"/>
  <c r="T262"/>
  <c r="T269"/>
  <c r="T267"/>
  <c r="T265"/>
  <c r="T263"/>
  <c r="T261"/>
  <c r="L273"/>
  <c r="T264"/>
  <c r="T266"/>
  <c r="J269" i="44"/>
  <c r="S261" i="70"/>
  <c r="S262" i="43"/>
  <c r="R256"/>
  <c r="S259" i="78"/>
  <c r="M265" i="70"/>
  <c r="K265"/>
  <c r="I263" i="78"/>
  <c r="K263"/>
  <c r="M263"/>
  <c r="V270" i="79"/>
  <c r="K270"/>
  <c r="M270"/>
  <c r="D277" i="82"/>
  <c r="D271"/>
  <c r="K23" i="189"/>
  <c r="K26"/>
  <c r="T262" i="80"/>
  <c r="Y263"/>
  <c r="T255"/>
  <c r="T256"/>
  <c r="L267"/>
  <c r="T259"/>
  <c r="T261"/>
  <c r="T257"/>
  <c r="T263"/>
  <c r="T260"/>
  <c r="T258"/>
  <c r="Y269" i="43"/>
  <c r="S275" i="81"/>
  <c r="S271"/>
  <c r="S267"/>
  <c r="J279"/>
  <c r="S273"/>
  <c r="S269"/>
  <c r="S274"/>
  <c r="S266"/>
  <c r="S268"/>
  <c r="S272"/>
  <c r="S270"/>
  <c r="S268" i="77"/>
  <c r="S262"/>
  <c r="S269"/>
  <c r="S267"/>
  <c r="S265"/>
  <c r="S263"/>
  <c r="S261"/>
  <c r="J273"/>
  <c r="S266"/>
  <c r="S264"/>
  <c r="L24" i="189"/>
  <c r="T260" i="77"/>
  <c r="I267" i="82"/>
  <c r="M267"/>
  <c r="K267"/>
  <c r="V263"/>
  <c r="B14" i="189" s="1"/>
  <c r="K263" i="82"/>
  <c r="S273"/>
  <c r="S268"/>
  <c r="S264"/>
  <c r="J278"/>
  <c r="S274"/>
  <c r="S265"/>
  <c r="S266"/>
  <c r="S272"/>
  <c r="S270"/>
  <c r="S263"/>
  <c r="S267"/>
  <c r="S269"/>
  <c r="M263"/>
  <c r="T274"/>
  <c r="T265"/>
  <c r="Y274"/>
  <c r="T266"/>
  <c r="L278"/>
  <c r="T272"/>
  <c r="T273"/>
  <c r="T268"/>
  <c r="T264"/>
  <c r="T270"/>
  <c r="T267"/>
  <c r="T269"/>
  <c r="T263"/>
  <c r="N29" i="36"/>
  <c r="N31" s="1"/>
  <c r="N43" s="1"/>
  <c r="N45" s="1"/>
  <c r="J26" i="3"/>
  <c r="J28" s="1"/>
  <c r="B29" i="244"/>
  <c r="B42" s="1"/>
  <c r="I14" i="189"/>
  <c r="T46" s="1"/>
  <c r="Z272" i="82"/>
  <c r="D14" i="189"/>
  <c r="E46" s="1"/>
  <c r="Z265" i="82"/>
  <c r="G269" i="81"/>
  <c r="V269"/>
  <c r="Z269" s="1"/>
  <c r="I269"/>
  <c r="G274"/>
  <c r="V274"/>
  <c r="Z274" s="1"/>
  <c r="I274"/>
  <c r="G266"/>
  <c r="V266"/>
  <c r="Z266" s="1"/>
  <c r="I266"/>
  <c r="V271"/>
  <c r="Z271" s="1"/>
  <c r="I271"/>
  <c r="V269" i="79"/>
  <c r="Z269" s="1"/>
  <c r="I269"/>
  <c r="V268"/>
  <c r="Z268" s="1"/>
  <c r="I268"/>
  <c r="V267"/>
  <c r="Z267" s="1"/>
  <c r="I267"/>
  <c r="V271"/>
  <c r="Z271" s="1"/>
  <c r="I271"/>
  <c r="E273"/>
  <c r="G267" i="78"/>
  <c r="V267"/>
  <c r="Z267" s="1"/>
  <c r="I267"/>
  <c r="I8" i="189"/>
  <c r="T40" s="1"/>
  <c r="I264" i="78"/>
  <c r="G262"/>
  <c r="V262"/>
  <c r="Z262" s="1"/>
  <c r="I262"/>
  <c r="X261" i="70"/>
  <c r="M42" i="23"/>
  <c r="R42" s="1"/>
  <c r="B61" i="247"/>
  <c r="B27" i="245"/>
  <c r="H275" i="70"/>
  <c r="X275" s="1"/>
  <c r="V266"/>
  <c r="I266"/>
  <c r="G268" i="82"/>
  <c r="B152"/>
  <c r="H269" s="1"/>
  <c r="H268"/>
  <c r="I16" i="189"/>
  <c r="T48" s="1"/>
  <c r="X266" i="80"/>
  <c r="V270" i="81"/>
  <c r="Z270" s="1"/>
  <c r="I270"/>
  <c r="X271" i="78"/>
  <c r="X276" i="70"/>
  <c r="I263" i="82"/>
  <c r="H272" i="78"/>
  <c r="R266"/>
  <c r="R262"/>
  <c r="R267"/>
  <c r="X268"/>
  <c r="R268"/>
  <c r="R264"/>
  <c r="R260"/>
  <c r="R261"/>
  <c r="R263"/>
  <c r="X266" i="79"/>
  <c r="H275"/>
  <c r="R266" s="1"/>
  <c r="X254" i="80"/>
  <c r="H263"/>
  <c r="R254" s="1"/>
  <c r="I270" i="79"/>
  <c r="F27" i="3"/>
  <c r="R265" i="78"/>
  <c r="R259"/>
  <c r="O46" i="189"/>
  <c r="F46"/>
  <c r="X46"/>
  <c r="U46"/>
  <c r="B164" i="82"/>
  <c r="G267" i="79"/>
  <c r="G274"/>
  <c r="V274"/>
  <c r="Z274" s="1"/>
  <c r="G273"/>
  <c r="V273"/>
  <c r="Z273" s="1"/>
  <c r="G269"/>
  <c r="G268"/>
  <c r="G262" i="77"/>
  <c r="I262"/>
  <c r="V262"/>
  <c r="Z262" s="1"/>
  <c r="X260"/>
  <c r="G261"/>
  <c r="V261"/>
  <c r="Z261" s="1"/>
  <c r="I261"/>
  <c r="G267"/>
  <c r="V267"/>
  <c r="Z267" s="1"/>
  <c r="I267"/>
  <c r="G263"/>
  <c r="V263"/>
  <c r="Z263" s="1"/>
  <c r="I263"/>
  <c r="G268"/>
  <c r="V268"/>
  <c r="Z268" s="1"/>
  <c r="I268"/>
  <c r="E262"/>
  <c r="V265" i="70"/>
  <c r="Z265" s="1"/>
  <c r="I265"/>
  <c r="H272"/>
  <c r="G271"/>
  <c r="V271"/>
  <c r="Z271" s="1"/>
  <c r="G263"/>
  <c r="V263"/>
  <c r="Z263" s="1"/>
  <c r="G270"/>
  <c r="V270"/>
  <c r="Z270" s="1"/>
  <c r="G262"/>
  <c r="V262"/>
  <c r="Z262" s="1"/>
  <c r="G264"/>
  <c r="V264"/>
  <c r="Z264" s="1"/>
  <c r="O48" i="189"/>
  <c r="U48"/>
  <c r="Q13" i="23"/>
  <c r="B58" i="190"/>
  <c r="B28" i="191" s="1"/>
  <c r="B27"/>
  <c r="H26" i="3" s="1"/>
  <c r="C108" i="190"/>
  <c r="U38" i="189"/>
  <c r="R44"/>
  <c r="U44"/>
  <c r="X44"/>
  <c r="R38"/>
  <c r="X38"/>
  <c r="G263" i="78"/>
  <c r="V263"/>
  <c r="Z263" s="1"/>
  <c r="B269" i="82"/>
  <c r="B271" s="1"/>
  <c r="V267"/>
  <c r="G264" i="77"/>
  <c r="V264"/>
  <c r="Z264" s="1"/>
  <c r="W265" i="70"/>
  <c r="B267"/>
  <c r="G270" i="79"/>
  <c r="B272" i="81"/>
  <c r="C108" i="110"/>
  <c r="C110" s="1"/>
  <c r="B59"/>
  <c r="B60" s="1"/>
  <c r="G13" i="23"/>
  <c r="P13" s="1"/>
  <c r="D271" i="79"/>
  <c r="E271" s="1"/>
  <c r="B124"/>
  <c r="C6" i="99" s="1"/>
  <c r="D259" i="80"/>
  <c r="E259" s="1"/>
  <c r="E255"/>
  <c r="E261"/>
  <c r="B38" i="82"/>
  <c r="D264" i="78"/>
  <c r="E264" s="1"/>
  <c r="E267" i="79"/>
  <c r="G255" i="80"/>
  <c r="B62" i="110"/>
  <c r="B26" i="109"/>
  <c r="B71" i="77"/>
  <c r="F266" i="79"/>
  <c r="F260" i="77"/>
  <c r="W260" s="1"/>
  <c r="G265" i="70"/>
  <c r="F254" i="80"/>
  <c r="W254" s="1"/>
  <c r="B120"/>
  <c r="C7" i="99" s="1"/>
  <c r="E270" i="70"/>
  <c r="D39" i="67" s="1"/>
  <c r="D266" i="70"/>
  <c r="E266" s="1"/>
  <c r="D37" i="67" s="1"/>
  <c r="B126" i="70"/>
  <c r="C12" i="99" s="1"/>
  <c r="J16" i="37"/>
  <c r="B56" i="77"/>
  <c r="B83" s="1"/>
  <c r="B4" i="99" s="1"/>
  <c r="B55" i="78"/>
  <c r="D259" s="1"/>
  <c r="B120" i="82"/>
  <c r="C11" i="99" s="1"/>
  <c r="B88" i="110"/>
  <c r="B90" s="1"/>
  <c r="B108" i="43"/>
  <c r="W261" i="70"/>
  <c r="G263" i="82"/>
  <c r="G267"/>
  <c r="F269"/>
  <c r="D271" i="81"/>
  <c r="E271" s="1"/>
  <c r="B125"/>
  <c r="C8" i="99" s="1"/>
  <c r="E266" i="81"/>
  <c r="G270"/>
  <c r="B13"/>
  <c r="B265" s="1"/>
  <c r="B22"/>
  <c r="B13" i="80"/>
  <c r="B38" s="1"/>
  <c r="B54"/>
  <c r="D254" s="1"/>
  <c r="B22"/>
  <c r="B13" i="79"/>
  <c r="B266" s="1"/>
  <c r="B22"/>
  <c r="B272"/>
  <c r="B13" i="78"/>
  <c r="B259" s="1"/>
  <c r="B265"/>
  <c r="E262"/>
  <c r="E267"/>
  <c r="B69"/>
  <c r="D263"/>
  <c r="B22"/>
  <c r="D265" i="77"/>
  <c r="E265" s="1"/>
  <c r="E261"/>
  <c r="E267"/>
  <c r="B266"/>
  <c r="B22"/>
  <c r="E262" i="70"/>
  <c r="D33" i="67" s="1"/>
  <c r="E263" i="82"/>
  <c r="B79"/>
  <c r="E267"/>
  <c r="E269" i="81"/>
  <c r="B28"/>
  <c r="B56"/>
  <c r="D265" s="1"/>
  <c r="E257" i="80"/>
  <c r="B258"/>
  <c r="B67"/>
  <c r="E269" i="79"/>
  <c r="E270"/>
  <c r="B69"/>
  <c r="B28"/>
  <c r="B55"/>
  <c r="B28" i="78"/>
  <c r="E263" i="77"/>
  <c r="B13"/>
  <c r="D264"/>
  <c r="B29"/>
  <c r="E263" i="70"/>
  <c r="D34" i="67" s="1"/>
  <c r="B57" i="70"/>
  <c r="D261" s="1"/>
  <c r="E264"/>
  <c r="E265"/>
  <c r="B27"/>
  <c r="B268"/>
  <c r="B70"/>
  <c r="D268"/>
  <c r="B12"/>
  <c r="B11"/>
  <c r="B10"/>
  <c r="B9"/>
  <c r="B8"/>
  <c r="B7"/>
  <c r="B6"/>
  <c r="E39" i="67"/>
  <c r="E34"/>
  <c r="E33"/>
  <c r="C12" i="45"/>
  <c r="B12"/>
  <c r="C11"/>
  <c r="B11"/>
  <c r="C10"/>
  <c r="B10"/>
  <c r="B9"/>
  <c r="C8"/>
  <c r="B8"/>
  <c r="B7"/>
  <c r="C6"/>
  <c r="B6"/>
  <c r="B79" i="44"/>
  <c r="D263" s="1"/>
  <c r="B74"/>
  <c r="B67"/>
  <c r="D259" s="1"/>
  <c r="B64"/>
  <c r="D258" s="1"/>
  <c r="B62"/>
  <c r="B55"/>
  <c r="B54"/>
  <c r="B53"/>
  <c r="B52"/>
  <c r="B51"/>
  <c r="B50"/>
  <c r="B49"/>
  <c r="B34"/>
  <c r="B260"/>
  <c r="B25"/>
  <c r="B21"/>
  <c r="B19"/>
  <c r="B12"/>
  <c r="B11"/>
  <c r="B10"/>
  <c r="B9"/>
  <c r="B8"/>
  <c r="B7"/>
  <c r="B6"/>
  <c r="Z259" i="80" l="1"/>
  <c r="G10" i="189"/>
  <c r="E10"/>
  <c r="Q42" s="1"/>
  <c r="Z257" i="80"/>
  <c r="D266" i="77"/>
  <c r="E266" s="1"/>
  <c r="B4" i="104" s="1"/>
  <c r="G15" i="189"/>
  <c r="Z266" i="70"/>
  <c r="J10" i="189"/>
  <c r="W42" s="1"/>
  <c r="Z262" i="80"/>
  <c r="V260" i="44"/>
  <c r="M260"/>
  <c r="K260"/>
  <c r="G7" i="189"/>
  <c r="Z265" i="77"/>
  <c r="D10" i="189"/>
  <c r="E42" s="1"/>
  <c r="Z256" i="80"/>
  <c r="I10" i="189"/>
  <c r="T42" s="1"/>
  <c r="Z261" i="80"/>
  <c r="G8" i="189"/>
  <c r="Z264" i="78"/>
  <c r="C10" i="189"/>
  <c r="N42" s="1"/>
  <c r="Z255" i="80"/>
  <c r="Z263" i="82"/>
  <c r="B274"/>
  <c r="E271"/>
  <c r="I268" i="70"/>
  <c r="M268"/>
  <c r="K268"/>
  <c r="K265" i="78"/>
  <c r="M265"/>
  <c r="V266" i="79"/>
  <c r="K266"/>
  <c r="M266"/>
  <c r="J280"/>
  <c r="L280"/>
  <c r="Y279"/>
  <c r="L31" i="189"/>
  <c r="J284" i="70"/>
  <c r="K266" i="77"/>
  <c r="M266"/>
  <c r="Y269" i="44"/>
  <c r="J273" i="78"/>
  <c r="J271" i="43"/>
  <c r="K272" i="79"/>
  <c r="M272"/>
  <c r="W269" i="82"/>
  <c r="F271"/>
  <c r="F274" s="1"/>
  <c r="V271"/>
  <c r="M271"/>
  <c r="K271"/>
  <c r="H277"/>
  <c r="X277" s="1"/>
  <c r="H271"/>
  <c r="H274" s="1"/>
  <c r="K29" i="189"/>
  <c r="Y279" i="70"/>
  <c r="L280" i="81"/>
  <c r="Y279"/>
  <c r="J279" i="70"/>
  <c r="M272" i="81"/>
  <c r="K272"/>
  <c r="F9" i="189"/>
  <c r="Z270" i="79"/>
  <c r="Y273" i="78"/>
  <c r="M258" i="80"/>
  <c r="K258"/>
  <c r="I259" i="78"/>
  <c r="M259"/>
  <c r="K259"/>
  <c r="I265" i="81"/>
  <c r="M265"/>
  <c r="K265"/>
  <c r="I267" i="70"/>
  <c r="M267"/>
  <c r="K267"/>
  <c r="M28" i="189"/>
  <c r="J274" i="77"/>
  <c r="J280" i="81"/>
  <c r="Y267" i="80"/>
  <c r="L268"/>
  <c r="L274" i="77"/>
  <c r="Y273"/>
  <c r="L23" i="189"/>
  <c r="L271" i="43"/>
  <c r="Y270"/>
  <c r="L32" i="189"/>
  <c r="K32"/>
  <c r="L279" i="82"/>
  <c r="Y278"/>
  <c r="L30" i="189" s="1"/>
  <c r="J279" i="82"/>
  <c r="V269"/>
  <c r="H14" i="189" s="1"/>
  <c r="M269" i="82"/>
  <c r="K269"/>
  <c r="J47" i="3"/>
  <c r="J39"/>
  <c r="J11" i="189"/>
  <c r="W43" s="1"/>
  <c r="G11"/>
  <c r="E11"/>
  <c r="Q43" s="1"/>
  <c r="G9"/>
  <c r="C9"/>
  <c r="N41" s="1"/>
  <c r="E9"/>
  <c r="Q41" s="1"/>
  <c r="D9"/>
  <c r="E41" s="1"/>
  <c r="E8"/>
  <c r="Q40" s="1"/>
  <c r="J8"/>
  <c r="W40" s="1"/>
  <c r="B29" i="245"/>
  <c r="B42" s="1"/>
  <c r="P29" i="36"/>
  <c r="X29" s="1"/>
  <c r="L26" i="3"/>
  <c r="L28" s="1"/>
  <c r="D260" i="77"/>
  <c r="X269" i="82"/>
  <c r="I268"/>
  <c r="X268"/>
  <c r="Z268" s="1"/>
  <c r="B59" i="190"/>
  <c r="F11" i="189"/>
  <c r="F8"/>
  <c r="F14"/>
  <c r="Z267" i="82"/>
  <c r="X272" i="78"/>
  <c r="H273"/>
  <c r="V258" i="80"/>
  <c r="Z258" s="1"/>
  <c r="I258"/>
  <c r="V272" i="79"/>
  <c r="Z272" s="1"/>
  <c r="I272"/>
  <c r="H283" i="70"/>
  <c r="H278"/>
  <c r="X272"/>
  <c r="R262" i="80"/>
  <c r="X263"/>
  <c r="R263"/>
  <c r="R259"/>
  <c r="R255"/>
  <c r="R256"/>
  <c r="H267"/>
  <c r="R261"/>
  <c r="R257"/>
  <c r="R258"/>
  <c r="R260"/>
  <c r="R268" i="79"/>
  <c r="X275"/>
  <c r="R273"/>
  <c r="R269"/>
  <c r="H279"/>
  <c r="R274"/>
  <c r="R275"/>
  <c r="R271"/>
  <c r="R267"/>
  <c r="R272"/>
  <c r="R270"/>
  <c r="I269" i="82"/>
  <c r="V265" i="78"/>
  <c r="Z265" s="1"/>
  <c r="I265"/>
  <c r="W266" i="79"/>
  <c r="I266"/>
  <c r="J9" i="189"/>
  <c r="W41" s="1"/>
  <c r="I9"/>
  <c r="T41" s="1"/>
  <c r="C7"/>
  <c r="N39" s="1"/>
  <c r="F7"/>
  <c r="J7"/>
  <c r="W39" s="1"/>
  <c r="E7"/>
  <c r="Q39" s="1"/>
  <c r="D7"/>
  <c r="E39" s="1"/>
  <c r="F265" i="77"/>
  <c r="I7" i="189"/>
  <c r="T39" s="1"/>
  <c r="R272" i="70"/>
  <c r="R264"/>
  <c r="R270"/>
  <c r="R266"/>
  <c r="R262"/>
  <c r="R271"/>
  <c r="R263"/>
  <c r="R268"/>
  <c r="R265"/>
  <c r="R269"/>
  <c r="R267"/>
  <c r="R261"/>
  <c r="I15" i="189"/>
  <c r="T47" s="1"/>
  <c r="E15"/>
  <c r="Q47" s="1"/>
  <c r="J15"/>
  <c r="W47" s="1"/>
  <c r="C15"/>
  <c r="N47" s="1"/>
  <c r="D15"/>
  <c r="E47" s="1"/>
  <c r="L30" i="36"/>
  <c r="H27" i="3"/>
  <c r="B29" i="191"/>
  <c r="B42" s="1"/>
  <c r="L29" s="1"/>
  <c r="L29" i="36"/>
  <c r="B104" i="110"/>
  <c r="B108" s="1"/>
  <c r="B106" i="190"/>
  <c r="G259" i="78"/>
  <c r="V259"/>
  <c r="Z259" s="1"/>
  <c r="G265" i="81"/>
  <c r="V265"/>
  <c r="Z265" s="1"/>
  <c r="B79" i="80"/>
  <c r="B7" i="99" s="1"/>
  <c r="B277" i="82"/>
  <c r="E269"/>
  <c r="B278" i="81"/>
  <c r="V272"/>
  <c r="B272" i="77"/>
  <c r="V266"/>
  <c r="B276" i="70"/>
  <c r="V267"/>
  <c r="Z267" s="1"/>
  <c r="B282"/>
  <c r="V268"/>
  <c r="Z268" s="1"/>
  <c r="D277"/>
  <c r="E268"/>
  <c r="D269"/>
  <c r="B269"/>
  <c r="D267"/>
  <c r="D260" i="80"/>
  <c r="D266" s="1"/>
  <c r="B39" i="79"/>
  <c r="B81" i="78"/>
  <c r="B5" i="99" s="1"/>
  <c r="B39" i="81"/>
  <c r="G266" i="79"/>
  <c r="D260" i="44"/>
  <c r="D261" s="1"/>
  <c r="H260"/>
  <c r="F271" i="79"/>
  <c r="W271" s="1"/>
  <c r="B112"/>
  <c r="B124" i="77"/>
  <c r="C4" i="99" s="1"/>
  <c r="B254" i="80"/>
  <c r="D272" i="79"/>
  <c r="D278" s="1"/>
  <c r="F264" i="78"/>
  <c r="W264" s="1"/>
  <c r="B111"/>
  <c r="F259" i="80"/>
  <c r="W259" s="1"/>
  <c r="B108"/>
  <c r="B39" i="78"/>
  <c r="E259"/>
  <c r="B123"/>
  <c r="C5" i="99" s="1"/>
  <c r="B278" i="79"/>
  <c r="F26" i="3"/>
  <c r="F28" s="1"/>
  <c r="J29" i="36"/>
  <c r="B28" i="109"/>
  <c r="D282" i="70"/>
  <c r="F266"/>
  <c r="B112"/>
  <c r="G268"/>
  <c r="B277"/>
  <c r="D6" i="45"/>
  <c r="D8"/>
  <c r="D10"/>
  <c r="D12"/>
  <c r="F260" i="43"/>
  <c r="W260" s="1"/>
  <c r="F277" i="82"/>
  <c r="G269"/>
  <c r="B260" i="80"/>
  <c r="G258"/>
  <c r="F271" i="81"/>
  <c r="W271" s="1"/>
  <c r="B113"/>
  <c r="B275" i="79"/>
  <c r="E263" i="78"/>
  <c r="D265"/>
  <c r="B271"/>
  <c r="B268"/>
  <c r="B112" i="77"/>
  <c r="F266" s="1"/>
  <c r="W266" s="1"/>
  <c r="B29" i="44"/>
  <c r="B259"/>
  <c r="B22"/>
  <c r="B258"/>
  <c r="E263"/>
  <c r="E40" i="67" s="1"/>
  <c r="B13" i="44"/>
  <c r="B56"/>
  <c r="D255" s="1"/>
  <c r="D11" i="45"/>
  <c r="D272" i="77"/>
  <c r="B69" i="44"/>
  <c r="E265" i="81"/>
  <c r="E258" i="80"/>
  <c r="D266" i="79"/>
  <c r="B81"/>
  <c r="B6" i="99" s="1"/>
  <c r="B260" i="77"/>
  <c r="B40"/>
  <c r="E264"/>
  <c r="B13" i="70"/>
  <c r="B261" s="1"/>
  <c r="D263" i="43"/>
  <c r="G16" i="189" l="1"/>
  <c r="Z260" i="44"/>
  <c r="M261" i="70"/>
  <c r="K261"/>
  <c r="I261"/>
  <c r="M268" i="78"/>
  <c r="K268"/>
  <c r="I260" i="80"/>
  <c r="M260"/>
  <c r="K260"/>
  <c r="I259" i="44"/>
  <c r="K259"/>
  <c r="M259"/>
  <c r="K271" i="78"/>
  <c r="M271"/>
  <c r="E5" i="104" s="1"/>
  <c r="M277" i="70"/>
  <c r="K277"/>
  <c r="K278" i="79"/>
  <c r="M278"/>
  <c r="E6" i="104" s="1"/>
  <c r="M276" i="70"/>
  <c r="K276"/>
  <c r="H11" i="189"/>
  <c r="Z272" i="81"/>
  <c r="Y271" i="43"/>
  <c r="L27" i="189"/>
  <c r="M31"/>
  <c r="W271" i="82"/>
  <c r="G271"/>
  <c r="L25" i="189"/>
  <c r="I275" i="79"/>
  <c r="M275"/>
  <c r="K275"/>
  <c r="I271" i="82"/>
  <c r="X271"/>
  <c r="Z271" s="1"/>
  <c r="B9" i="189"/>
  <c r="Z266" i="79"/>
  <c r="Y268" i="80"/>
  <c r="M24" i="189"/>
  <c r="Y280" i="81"/>
  <c r="Y280" i="79"/>
  <c r="L29" i="189"/>
  <c r="L26"/>
  <c r="I260" i="77"/>
  <c r="K260"/>
  <c r="M260"/>
  <c r="I258" i="44"/>
  <c r="K258"/>
  <c r="M258"/>
  <c r="I282" i="70"/>
  <c r="B12" i="182" s="1"/>
  <c r="M282" i="70"/>
  <c r="E12" i="104" s="1"/>
  <c r="K282" i="70"/>
  <c r="V272" i="77"/>
  <c r="K272"/>
  <c r="M272"/>
  <c r="K254" i="80"/>
  <c r="M254"/>
  <c r="K269" i="70"/>
  <c r="M269"/>
  <c r="H7" i="189"/>
  <c r="Z266" i="77"/>
  <c r="V278" i="81"/>
  <c r="M278"/>
  <c r="K278"/>
  <c r="F22" i="189"/>
  <c r="J50" i="3"/>
  <c r="U47" s="1"/>
  <c r="Y274" i="77"/>
  <c r="M32" i="189"/>
  <c r="R269" i="82"/>
  <c r="K274"/>
  <c r="M274"/>
  <c r="Y279"/>
  <c r="M30" i="189" s="1"/>
  <c r="V277" i="82"/>
  <c r="K14" i="189" s="1"/>
  <c r="B46" s="1"/>
  <c r="M277" i="82"/>
  <c r="E11" i="104" s="1"/>
  <c r="K277" i="82"/>
  <c r="Z269"/>
  <c r="G261" i="70"/>
  <c r="E261"/>
  <c r="L47" i="3"/>
  <c r="L39"/>
  <c r="P31" i="36"/>
  <c r="X31" s="1"/>
  <c r="D12" i="104"/>
  <c r="W30" i="36"/>
  <c r="R272" i="82"/>
  <c r="R274"/>
  <c r="R266"/>
  <c r="H278"/>
  <c r="X274"/>
  <c r="R267"/>
  <c r="R273"/>
  <c r="R264"/>
  <c r="R263"/>
  <c r="R268"/>
  <c r="X260" i="44"/>
  <c r="I260"/>
  <c r="G263" i="43"/>
  <c r="V263"/>
  <c r="Z263" s="1"/>
  <c r="I263"/>
  <c r="V271" i="78"/>
  <c r="Z271" s="1"/>
  <c r="I271"/>
  <c r="V276" i="70"/>
  <c r="Z276" s="1"/>
  <c r="I276"/>
  <c r="V268" i="78"/>
  <c r="Z268" s="1"/>
  <c r="I268"/>
  <c r="H8" i="189"/>
  <c r="X279" i="79"/>
  <c r="H280"/>
  <c r="H284" i="70"/>
  <c r="F10" i="189"/>
  <c r="I277" i="82"/>
  <c r="V277" i="70"/>
  <c r="Z277" s="1"/>
  <c r="I277"/>
  <c r="V278" i="79"/>
  <c r="Z278" s="1"/>
  <c r="I278"/>
  <c r="H9" i="189"/>
  <c r="O269" i="82"/>
  <c r="I274"/>
  <c r="X273" i="78"/>
  <c r="E254" i="80"/>
  <c r="I254"/>
  <c r="H268"/>
  <c r="X267"/>
  <c r="X278" i="70"/>
  <c r="H279"/>
  <c r="O272" i="82"/>
  <c r="B157" i="81"/>
  <c r="H272" s="1"/>
  <c r="B169"/>
  <c r="B154" i="77"/>
  <c r="H266" s="1"/>
  <c r="H265"/>
  <c r="B166"/>
  <c r="G265"/>
  <c r="W265"/>
  <c r="V269" i="70"/>
  <c r="Z269" s="1"/>
  <c r="I269"/>
  <c r="W266"/>
  <c r="F269"/>
  <c r="W269" s="1"/>
  <c r="B151" i="44"/>
  <c r="H261" s="1"/>
  <c r="B163"/>
  <c r="H28" i="3"/>
  <c r="W29" i="36"/>
  <c r="L31"/>
  <c r="O274" i="82"/>
  <c r="L40" i="191"/>
  <c r="L24"/>
  <c r="L19"/>
  <c r="L35"/>
  <c r="L13"/>
  <c r="O263" i="82"/>
  <c r="E282" i="70"/>
  <c r="V274" i="82"/>
  <c r="B108" i="190"/>
  <c r="D108" s="1"/>
  <c r="D106"/>
  <c r="O273" i="79"/>
  <c r="V275"/>
  <c r="Z275" s="1"/>
  <c r="B266" i="80"/>
  <c r="V260"/>
  <c r="Z260" s="1"/>
  <c r="B8" i="189"/>
  <c r="G258" i="44"/>
  <c r="V258"/>
  <c r="Z258" s="1"/>
  <c r="G254" i="80"/>
  <c r="V254"/>
  <c r="Z254" s="1"/>
  <c r="F15" i="189"/>
  <c r="O268" i="82"/>
  <c r="O264"/>
  <c r="O265"/>
  <c r="G259" i="44"/>
  <c r="V259"/>
  <c r="Z259" s="1"/>
  <c r="J31" i="36"/>
  <c r="J43" s="1"/>
  <c r="V29"/>
  <c r="B11" i="189"/>
  <c r="O266" i="82"/>
  <c r="O267"/>
  <c r="O273"/>
  <c r="B278"/>
  <c r="B263" i="80"/>
  <c r="Q269" i="82"/>
  <c r="W274"/>
  <c r="G277"/>
  <c r="C11" i="104" s="1"/>
  <c r="W277" i="82"/>
  <c r="E260" i="44"/>
  <c r="E37" i="67" s="1"/>
  <c r="E260" i="77"/>
  <c r="V260"/>
  <c r="Z260" s="1"/>
  <c r="E269" i="70"/>
  <c r="E267"/>
  <c r="D276"/>
  <c r="D275" s="1"/>
  <c r="F282"/>
  <c r="G282" s="1"/>
  <c r="C12" i="104" s="1"/>
  <c r="F267" i="70"/>
  <c r="E272" i="79"/>
  <c r="G264" i="78"/>
  <c r="F265"/>
  <c r="W265" s="1"/>
  <c r="G259" i="80"/>
  <c r="F260"/>
  <c r="G271" i="79"/>
  <c r="F272"/>
  <c r="W272" s="1"/>
  <c r="F260" i="44"/>
  <c r="W260" s="1"/>
  <c r="B122"/>
  <c r="C13" i="99" s="1"/>
  <c r="B110" i="44"/>
  <c r="F261" s="1"/>
  <c r="W261" s="1"/>
  <c r="E278" i="79"/>
  <c r="B6" i="104" s="1"/>
  <c r="B279" i="79"/>
  <c r="O268"/>
  <c r="O271"/>
  <c r="O272"/>
  <c r="O269"/>
  <c r="O270"/>
  <c r="O274"/>
  <c r="B41" i="109"/>
  <c r="L28" s="1"/>
  <c r="F39" i="3"/>
  <c r="F47"/>
  <c r="F50" s="1"/>
  <c r="S50" s="1"/>
  <c r="D108" i="110"/>
  <c r="B110"/>
  <c r="D110" s="1"/>
  <c r="O267" i="79"/>
  <c r="B275" i="70"/>
  <c r="G266"/>
  <c r="E263" i="43"/>
  <c r="C39" i="67" s="1"/>
  <c r="F268" i="43"/>
  <c r="W268" s="1"/>
  <c r="B269" i="77"/>
  <c r="G260"/>
  <c r="F278" i="82"/>
  <c r="W278" s="1"/>
  <c r="Q274"/>
  <c r="Q272"/>
  <c r="Q268"/>
  <c r="Q264"/>
  <c r="G274"/>
  <c r="Q273"/>
  <c r="Q265"/>
  <c r="Q266"/>
  <c r="Q263"/>
  <c r="Q267"/>
  <c r="E258" i="44"/>
  <c r="E259"/>
  <c r="F269" i="77"/>
  <c r="F272"/>
  <c r="G266"/>
  <c r="E260" i="80"/>
  <c r="G271" i="81"/>
  <c r="F272"/>
  <c r="O275" i="79"/>
  <c r="O260" i="78"/>
  <c r="O268"/>
  <c r="B272"/>
  <c r="O261"/>
  <c r="O266"/>
  <c r="O262"/>
  <c r="O267"/>
  <c r="O264"/>
  <c r="O259"/>
  <c r="O263"/>
  <c r="O265"/>
  <c r="E265"/>
  <c r="D271"/>
  <c r="E271" s="1"/>
  <c r="B5" i="104" s="1"/>
  <c r="D268" i="78"/>
  <c r="B40" i="44"/>
  <c r="B255"/>
  <c r="D264"/>
  <c r="P261" s="1"/>
  <c r="D267"/>
  <c r="B261"/>
  <c r="E277" i="82"/>
  <c r="B11" i="104" s="1"/>
  <c r="B81" i="44"/>
  <c r="E266" i="79"/>
  <c r="B41" i="70"/>
  <c r="D258" i="43"/>
  <c r="D257"/>
  <c r="E8" i="104" l="1"/>
  <c r="B23" i="182"/>
  <c r="E4" i="104"/>
  <c r="B22" i="182"/>
  <c r="Z277" i="82"/>
  <c r="R265"/>
  <c r="M29" i="189"/>
  <c r="I255" i="44"/>
  <c r="M255"/>
  <c r="K255"/>
  <c r="K22" i="189"/>
  <c r="H22"/>
  <c r="M26"/>
  <c r="I279" i="79"/>
  <c r="C6" i="182" s="1"/>
  <c r="M279" i="79"/>
  <c r="K279"/>
  <c r="K263" i="80"/>
  <c r="M263"/>
  <c r="M266"/>
  <c r="E7" i="104" s="1"/>
  <c r="K266" i="80"/>
  <c r="M23" i="189"/>
  <c r="K11"/>
  <c r="B43" s="1"/>
  <c r="Z278" i="81"/>
  <c r="M27" i="189"/>
  <c r="K7"/>
  <c r="B39" s="1"/>
  <c r="Z272" i="77"/>
  <c r="V261" i="44"/>
  <c r="K261"/>
  <c r="M261"/>
  <c r="I272" i="78"/>
  <c r="C5" i="182" s="1"/>
  <c r="M272" i="78"/>
  <c r="K272"/>
  <c r="M269" i="77"/>
  <c r="K269"/>
  <c r="I275" i="70"/>
  <c r="K275"/>
  <c r="M275"/>
  <c r="U50" i="3"/>
  <c r="U45"/>
  <c r="U43"/>
  <c r="U49"/>
  <c r="U44"/>
  <c r="U48"/>
  <c r="U46"/>
  <c r="M25" i="189"/>
  <c r="K278" i="82"/>
  <c r="M278"/>
  <c r="L50" i="3"/>
  <c r="V47" s="1"/>
  <c r="P43" i="36"/>
  <c r="X43" s="1"/>
  <c r="D5" i="104"/>
  <c r="B5" i="182"/>
  <c r="D6" i="104"/>
  <c r="B6" i="182"/>
  <c r="D11" i="104"/>
  <c r="B11" i="182"/>
  <c r="H279" i="82"/>
  <c r="X279" s="1"/>
  <c r="X278"/>
  <c r="Z274"/>
  <c r="G257" i="43"/>
  <c r="I257"/>
  <c r="V257"/>
  <c r="Z257" s="1"/>
  <c r="I13" i="189"/>
  <c r="T45" s="1"/>
  <c r="G258" i="43"/>
  <c r="V258"/>
  <c r="Z258" s="1"/>
  <c r="I258"/>
  <c r="V263" i="80"/>
  <c r="Z263" s="1"/>
  <c r="I263"/>
  <c r="K8" i="189"/>
  <c r="B40" s="1"/>
  <c r="V266" i="80"/>
  <c r="Z266" s="1"/>
  <c r="I266"/>
  <c r="K9" i="189"/>
  <c r="B41" s="1"/>
  <c r="H10"/>
  <c r="X279" i="70"/>
  <c r="X280" i="79"/>
  <c r="X268" i="80"/>
  <c r="V278" i="82"/>
  <c r="I278"/>
  <c r="C11" i="182" s="1"/>
  <c r="H267" i="44"/>
  <c r="X261"/>
  <c r="H15" i="189"/>
  <c r="I272" i="81"/>
  <c r="H278"/>
  <c r="X272"/>
  <c r="H275"/>
  <c r="X266" i="77"/>
  <c r="H272"/>
  <c r="I266"/>
  <c r="D4" i="104" s="1"/>
  <c r="X265" i="77"/>
  <c r="I265"/>
  <c r="H269"/>
  <c r="R266" s="1"/>
  <c r="G269" i="70"/>
  <c r="I261" i="44"/>
  <c r="H264"/>
  <c r="H47" i="3"/>
  <c r="H39"/>
  <c r="T28" s="1"/>
  <c r="O258" i="80"/>
  <c r="W31" i="36"/>
  <c r="L43"/>
  <c r="B267" i="80"/>
  <c r="O263"/>
  <c r="V31" i="36"/>
  <c r="O262" i="80"/>
  <c r="O261"/>
  <c r="B280" i="79"/>
  <c r="V279"/>
  <c r="F16" i="189"/>
  <c r="B279" i="82"/>
  <c r="G255" i="44"/>
  <c r="V255"/>
  <c r="Z255" s="1"/>
  <c r="G260" i="80"/>
  <c r="W260"/>
  <c r="V261" i="70"/>
  <c r="Z261" s="1"/>
  <c r="B272"/>
  <c r="B273" i="78"/>
  <c r="V272"/>
  <c r="Z272" s="1"/>
  <c r="F275" i="81"/>
  <c r="W275" s="1"/>
  <c r="W272"/>
  <c r="W267" i="70"/>
  <c r="F272"/>
  <c r="W272" s="1"/>
  <c r="B7" i="189"/>
  <c r="B10"/>
  <c r="E16"/>
  <c r="Q48" s="1"/>
  <c r="O257" i="80"/>
  <c r="O259"/>
  <c r="O255"/>
  <c r="O256"/>
  <c r="O254"/>
  <c r="O260"/>
  <c r="L46" i="189"/>
  <c r="C46"/>
  <c r="G272" i="77"/>
  <c r="W272"/>
  <c r="O266"/>
  <c r="V269"/>
  <c r="Z269" s="1"/>
  <c r="E275" i="70"/>
  <c r="V275"/>
  <c r="Z275" s="1"/>
  <c r="J45" i="36"/>
  <c r="V45" s="1"/>
  <c r="V43"/>
  <c r="Q266" i="77"/>
  <c r="W269"/>
  <c r="S43" i="3"/>
  <c r="S46"/>
  <c r="S45"/>
  <c r="S48"/>
  <c r="S47"/>
  <c r="S44"/>
  <c r="S49"/>
  <c r="G267" i="70"/>
  <c r="E255" i="44"/>
  <c r="G260"/>
  <c r="F278" i="79"/>
  <c r="F275"/>
  <c r="Q266" s="1"/>
  <c r="G272"/>
  <c r="F268" i="78"/>
  <c r="F271"/>
  <c r="G265"/>
  <c r="F263" i="80"/>
  <c r="F266"/>
  <c r="F267" i="44"/>
  <c r="W267" s="1"/>
  <c r="F264"/>
  <c r="S26" i="3"/>
  <c r="S13"/>
  <c r="S22"/>
  <c r="S27"/>
  <c r="S28"/>
  <c r="S37"/>
  <c r="S18"/>
  <c r="S33"/>
  <c r="S17"/>
  <c r="L23" i="109"/>
  <c r="L13"/>
  <c r="L19"/>
  <c r="L39"/>
  <c r="L34"/>
  <c r="C16" i="99"/>
  <c r="F276" i="70"/>
  <c r="W276" s="1"/>
  <c r="E257" i="43"/>
  <c r="C33" i="67" s="1"/>
  <c r="F273" i="77"/>
  <c r="W273" s="1"/>
  <c r="Q269"/>
  <c r="Q267"/>
  <c r="Q265"/>
  <c r="Q261"/>
  <c r="G269"/>
  <c r="Q268"/>
  <c r="Q262"/>
  <c r="Q263"/>
  <c r="Q260"/>
  <c r="Q264"/>
  <c r="F279" i="82"/>
  <c r="G278"/>
  <c r="E261" i="44"/>
  <c r="G261"/>
  <c r="G272" i="81"/>
  <c r="F278"/>
  <c r="P265" i="78"/>
  <c r="E268"/>
  <c r="P259"/>
  <c r="P263"/>
  <c r="D272"/>
  <c r="P264"/>
  <c r="P262"/>
  <c r="P268"/>
  <c r="P261"/>
  <c r="P267"/>
  <c r="P266"/>
  <c r="P260"/>
  <c r="P256" i="44"/>
  <c r="P264"/>
  <c r="D268"/>
  <c r="P257"/>
  <c r="P262"/>
  <c r="P259"/>
  <c r="P258"/>
  <c r="P260"/>
  <c r="P263"/>
  <c r="B267"/>
  <c r="P255"/>
  <c r="B264"/>
  <c r="E258" i="43"/>
  <c r="C34" i="67" s="1"/>
  <c r="E266" i="80"/>
  <c r="B7" i="104" s="1"/>
  <c r="B273" i="77"/>
  <c r="O269"/>
  <c r="O265"/>
  <c r="O263"/>
  <c r="O261"/>
  <c r="O268"/>
  <c r="O267"/>
  <c r="O262"/>
  <c r="O264"/>
  <c r="O260"/>
  <c r="B84" i="70"/>
  <c r="D32" i="67"/>
  <c r="B77" i="43"/>
  <c r="D264" s="1"/>
  <c r="B73"/>
  <c r="B62"/>
  <c r="D259" s="1"/>
  <c r="B60"/>
  <c r="B53"/>
  <c r="B52"/>
  <c r="B51"/>
  <c r="B50"/>
  <c r="B49"/>
  <c r="B48"/>
  <c r="B47"/>
  <c r="B36"/>
  <c r="B264" s="1"/>
  <c r="B31"/>
  <c r="V261"/>
  <c r="Z261" s="1"/>
  <c r="B25"/>
  <c r="B21"/>
  <c r="B19"/>
  <c r="B12"/>
  <c r="B11"/>
  <c r="B10"/>
  <c r="B9"/>
  <c r="B8"/>
  <c r="B7"/>
  <c r="B6"/>
  <c r="B58" i="2"/>
  <c r="D58" s="1"/>
  <c r="B55"/>
  <c r="D54" s="1"/>
  <c r="F38"/>
  <c r="B34"/>
  <c r="B30"/>
  <c r="B24"/>
  <c r="C19"/>
  <c r="B14"/>
  <c r="B65" i="38"/>
  <c r="B71" s="1"/>
  <c r="B64"/>
  <c r="B49"/>
  <c r="B36"/>
  <c r="B32"/>
  <c r="B26"/>
  <c r="B22"/>
  <c r="C17"/>
  <c r="B15"/>
  <c r="B12"/>
  <c r="B80" i="11"/>
  <c r="B75"/>
  <c r="D75" s="1"/>
  <c r="B79" s="1"/>
  <c r="B71"/>
  <c r="B81" s="1"/>
  <c r="B68"/>
  <c r="B67"/>
  <c r="B66"/>
  <c r="D65" s="1"/>
  <c r="B64"/>
  <c r="B54"/>
  <c r="B38"/>
  <c r="B34"/>
  <c r="B28"/>
  <c r="B24"/>
  <c r="C20"/>
  <c r="B20"/>
  <c r="B84" s="1"/>
  <c r="B18"/>
  <c r="B15"/>
  <c r="B79" i="19"/>
  <c r="B75"/>
  <c r="C9" i="45" s="1"/>
  <c r="D9" s="1"/>
  <c r="B71" i="19"/>
  <c r="B70"/>
  <c r="B72" s="1"/>
  <c r="B68"/>
  <c r="B57"/>
  <c r="B69" i="11" l="1"/>
  <c r="D69" s="1"/>
  <c r="D72" i="19"/>
  <c r="K264" i="43"/>
  <c r="M264"/>
  <c r="B38" i="2"/>
  <c r="B44" s="1"/>
  <c r="C38" i="189"/>
  <c r="V264" i="44"/>
  <c r="Z264" s="1"/>
  <c r="K264"/>
  <c r="M264"/>
  <c r="M273" i="78"/>
  <c r="K273"/>
  <c r="K267" i="80"/>
  <c r="M267"/>
  <c r="V280" i="79"/>
  <c r="K280"/>
  <c r="M280"/>
  <c r="V50" i="3"/>
  <c r="V44"/>
  <c r="V45"/>
  <c r="V46"/>
  <c r="V49"/>
  <c r="V48"/>
  <c r="V43"/>
  <c r="V267" i="44"/>
  <c r="K267"/>
  <c r="M267"/>
  <c r="V273" i="77"/>
  <c r="K273"/>
  <c r="M273"/>
  <c r="C22" i="182" s="1"/>
  <c r="M272" i="70"/>
  <c r="K272"/>
  <c r="L9" i="189"/>
  <c r="K41" s="1"/>
  <c r="Z279" i="79"/>
  <c r="L22" i="189"/>
  <c r="L38" s="1"/>
  <c r="H16"/>
  <c r="Z261" i="44"/>
  <c r="K279" i="82"/>
  <c r="M279"/>
  <c r="I272" i="70"/>
  <c r="O261"/>
  <c r="B27" i="43"/>
  <c r="B260"/>
  <c r="B22"/>
  <c r="B259"/>
  <c r="P45" i="36"/>
  <c r="X45" s="1"/>
  <c r="D7" i="104"/>
  <c r="B7" i="182"/>
  <c r="Q261" i="44"/>
  <c r="W264"/>
  <c r="H268"/>
  <c r="H269" s="1"/>
  <c r="X264"/>
  <c r="G264" i="43"/>
  <c r="I264"/>
  <c r="V264"/>
  <c r="Z264" s="1"/>
  <c r="C13" i="189"/>
  <c r="N45" s="1"/>
  <c r="G13"/>
  <c r="D13"/>
  <c r="E45" s="1"/>
  <c r="L8"/>
  <c r="K40" s="1"/>
  <c r="V267" i="80"/>
  <c r="Z267" s="1"/>
  <c r="I267"/>
  <c r="C7" i="182" s="1"/>
  <c r="X278" i="81"/>
  <c r="I278"/>
  <c r="K10" i="189"/>
  <c r="B42" s="1"/>
  <c r="K15"/>
  <c r="B47" s="1"/>
  <c r="H279" i="81"/>
  <c r="R268"/>
  <c r="R273"/>
  <c r="R269"/>
  <c r="X275"/>
  <c r="R274"/>
  <c r="R266"/>
  <c r="R275"/>
  <c r="R271"/>
  <c r="R267"/>
  <c r="R270"/>
  <c r="R265"/>
  <c r="X267" i="44"/>
  <c r="I267"/>
  <c r="I280" i="79"/>
  <c r="D6" i="182" s="1"/>
  <c r="R261" i="44"/>
  <c r="R272" i="81"/>
  <c r="L14" i="189"/>
  <c r="K46" s="1"/>
  <c r="Z278" i="82"/>
  <c r="V273" i="78"/>
  <c r="Z273" s="1"/>
  <c r="I273"/>
  <c r="D5" i="182" s="1"/>
  <c r="V279" i="82"/>
  <c r="I279"/>
  <c r="D11" i="182" s="1"/>
  <c r="R262" i="77"/>
  <c r="R267"/>
  <c r="R263"/>
  <c r="R268"/>
  <c r="R269"/>
  <c r="R265"/>
  <c r="R261"/>
  <c r="R264"/>
  <c r="B268" i="80"/>
  <c r="I272" i="77"/>
  <c r="B4" i="182" s="1"/>
  <c r="X272" i="77"/>
  <c r="X269"/>
  <c r="I269"/>
  <c r="H273"/>
  <c r="R260"/>
  <c r="R257" i="44"/>
  <c r="R259"/>
  <c r="R260"/>
  <c r="R262"/>
  <c r="R258"/>
  <c r="I264"/>
  <c r="R263"/>
  <c r="R264"/>
  <c r="R256"/>
  <c r="R255"/>
  <c r="H50" i="3"/>
  <c r="T39"/>
  <c r="T22"/>
  <c r="T37"/>
  <c r="T18"/>
  <c r="T17"/>
  <c r="T13"/>
  <c r="T33"/>
  <c r="T26"/>
  <c r="T27"/>
  <c r="Q275" i="81"/>
  <c r="W43" i="36"/>
  <c r="L45"/>
  <c r="Q272" i="81"/>
  <c r="Q270"/>
  <c r="Q274"/>
  <c r="Q267"/>
  <c r="F279"/>
  <c r="W279" s="1"/>
  <c r="L43" i="189" s="1"/>
  <c r="G278" i="81"/>
  <c r="C8" i="104" s="1"/>
  <c r="W278" i="81"/>
  <c r="G266" i="80"/>
  <c r="W266"/>
  <c r="G271" i="78"/>
  <c r="C5" i="104" s="1"/>
  <c r="W271" i="78"/>
  <c r="B15" i="189"/>
  <c r="B16"/>
  <c r="Q272" i="79"/>
  <c r="W275"/>
  <c r="C39" i="189"/>
  <c r="Q265" i="81"/>
  <c r="Q269"/>
  <c r="Q273"/>
  <c r="Q268"/>
  <c r="L39" i="189"/>
  <c r="Q265" i="78"/>
  <c r="W268"/>
  <c r="C48" i="189"/>
  <c r="G278" i="79"/>
  <c r="W278"/>
  <c r="Q260" i="80"/>
  <c r="W263"/>
  <c r="Q271" i="81"/>
  <c r="Q266"/>
  <c r="G279" i="82"/>
  <c r="W279"/>
  <c r="G264" i="44"/>
  <c r="O269" i="70"/>
  <c r="V272"/>
  <c r="Z272" s="1"/>
  <c r="C4" i="104"/>
  <c r="F283" i="70"/>
  <c r="F284" s="1"/>
  <c r="Q269"/>
  <c r="B283"/>
  <c r="O267"/>
  <c r="Q267"/>
  <c r="G267" i="44"/>
  <c r="C13" i="104" s="1"/>
  <c r="Q260" i="44"/>
  <c r="B85" i="19"/>
  <c r="B66" i="43" s="1"/>
  <c r="B68" s="1"/>
  <c r="B61" i="38"/>
  <c r="B63" s="1"/>
  <c r="B17"/>
  <c r="B66"/>
  <c r="D65" s="1"/>
  <c r="E267" i="44"/>
  <c r="B13" i="104" s="1"/>
  <c r="Q263" i="44"/>
  <c r="F268"/>
  <c r="Q256"/>
  <c r="Q255"/>
  <c r="Q258"/>
  <c r="Q259"/>
  <c r="Q257"/>
  <c r="Q262"/>
  <c r="Q264"/>
  <c r="Q256" i="80"/>
  <c r="Q259"/>
  <c r="Q258"/>
  <c r="Q263"/>
  <c r="Q262"/>
  <c r="Q261"/>
  <c r="Q257"/>
  <c r="Q254"/>
  <c r="F267"/>
  <c r="W267" s="1"/>
  <c r="Q255"/>
  <c r="G263"/>
  <c r="Q268" i="78"/>
  <c r="Q259"/>
  <c r="Q262"/>
  <c r="F272"/>
  <c r="W272" s="1"/>
  <c r="Q260"/>
  <c r="Q264"/>
  <c r="Q267"/>
  <c r="Q266"/>
  <c r="Q263"/>
  <c r="Q261"/>
  <c r="G268"/>
  <c r="Q273" i="79"/>
  <c r="Q268"/>
  <c r="Q267"/>
  <c r="Q275"/>
  <c r="Q274"/>
  <c r="Q270"/>
  <c r="Q269"/>
  <c r="Q271"/>
  <c r="F279"/>
  <c r="W279" s="1"/>
  <c r="G275"/>
  <c r="B42" i="11"/>
  <c r="B55" s="1"/>
  <c r="B40" i="38"/>
  <c r="S39" i="3"/>
  <c r="F275" i="70"/>
  <c r="F278"/>
  <c r="W278" s="1"/>
  <c r="Q270"/>
  <c r="Q271"/>
  <c r="Q262"/>
  <c r="Q265"/>
  <c r="Q272"/>
  <c r="Q263"/>
  <c r="Q266"/>
  <c r="Q268"/>
  <c r="Q264"/>
  <c r="Q261"/>
  <c r="G276"/>
  <c r="D261" i="43"/>
  <c r="B84" i="19"/>
  <c r="B48" i="11"/>
  <c r="G273" i="77"/>
  <c r="F274"/>
  <c r="W274" s="1"/>
  <c r="G272" i="70"/>
  <c r="D273" i="78"/>
  <c r="E273" s="1"/>
  <c r="E272"/>
  <c r="O255" i="44"/>
  <c r="B268"/>
  <c r="O264"/>
  <c r="O263"/>
  <c r="O257"/>
  <c r="O262"/>
  <c r="O256"/>
  <c r="O260"/>
  <c r="O258"/>
  <c r="O259"/>
  <c r="D269"/>
  <c r="O261"/>
  <c r="E264"/>
  <c r="E41" i="67" s="1"/>
  <c r="B13" i="43"/>
  <c r="E264"/>
  <c r="C40" i="67" s="1"/>
  <c r="B54" i="43"/>
  <c r="B63"/>
  <c r="E272" i="77"/>
  <c r="B274"/>
  <c r="B278" i="70"/>
  <c r="O271"/>
  <c r="D27" i="67" s="1"/>
  <c r="O270" i="70"/>
  <c r="O263"/>
  <c r="O272"/>
  <c r="O266"/>
  <c r="O264"/>
  <c r="O262"/>
  <c r="O265"/>
  <c r="O268"/>
  <c r="D38" i="67" s="1"/>
  <c r="B35" i="19"/>
  <c r="B31"/>
  <c r="B25"/>
  <c r="B21"/>
  <c r="B76" s="1"/>
  <c r="D76" s="1"/>
  <c r="C17"/>
  <c r="B15"/>
  <c r="B12"/>
  <c r="B38" i="22"/>
  <c r="B33"/>
  <c r="B25"/>
  <c r="B21"/>
  <c r="B22" s="1"/>
  <c r="B19"/>
  <c r="B12"/>
  <c r="B11"/>
  <c r="B10"/>
  <c r="B9"/>
  <c r="B8"/>
  <c r="B7"/>
  <c r="B6"/>
  <c r="B72" i="38" l="1"/>
  <c r="E13" i="104"/>
  <c r="B25" i="182"/>
  <c r="K268" i="80"/>
  <c r="M268"/>
  <c r="I259" i="43"/>
  <c r="K259"/>
  <c r="M259"/>
  <c r="M9" i="189"/>
  <c r="H41" s="1"/>
  <c r="Z280" i="79"/>
  <c r="K274" i="77"/>
  <c r="M274"/>
  <c r="D22" i="182" s="1"/>
  <c r="M22" i="189"/>
  <c r="I38" s="1"/>
  <c r="M278" i="70"/>
  <c r="K278"/>
  <c r="M283"/>
  <c r="K283"/>
  <c r="K260" i="43"/>
  <c r="M260"/>
  <c r="L7" i="189"/>
  <c r="K39" s="1"/>
  <c r="Z273" i="77"/>
  <c r="M268" i="44"/>
  <c r="C25" i="182" s="1"/>
  <c r="K268" i="44"/>
  <c r="K16" i="189"/>
  <c r="B48" s="1"/>
  <c r="Z267" i="44"/>
  <c r="B268" i="43"/>
  <c r="B262"/>
  <c r="B256"/>
  <c r="T47" i="3"/>
  <c r="D8" i="104"/>
  <c r="B8" i="182"/>
  <c r="D13" i="104"/>
  <c r="B13" i="182"/>
  <c r="W45" i="36"/>
  <c r="X268" i="44"/>
  <c r="I268"/>
  <c r="C13" i="182" s="1"/>
  <c r="H261" i="43"/>
  <c r="B151"/>
  <c r="J13" i="189"/>
  <c r="W45" s="1"/>
  <c r="V274" i="77"/>
  <c r="B284" i="70"/>
  <c r="I283"/>
  <c r="C12" i="182" s="1"/>
  <c r="V268" i="80"/>
  <c r="Z268" s="1"/>
  <c r="I268"/>
  <c r="D7" i="182" s="1"/>
  <c r="X279" i="81"/>
  <c r="H280"/>
  <c r="V278" i="70"/>
  <c r="Z278" s="1"/>
  <c r="I278"/>
  <c r="M14" i="189"/>
  <c r="H46" s="1"/>
  <c r="Z279" i="82"/>
  <c r="X269" i="44"/>
  <c r="M8" i="189"/>
  <c r="H40" s="1"/>
  <c r="L10"/>
  <c r="K42" s="1"/>
  <c r="C6" i="104"/>
  <c r="H274" i="77"/>
  <c r="I273"/>
  <c r="C4" i="182" s="1"/>
  <c r="X273" i="77"/>
  <c r="T50" i="3"/>
  <c r="T49"/>
  <c r="T46"/>
  <c r="T45"/>
  <c r="T43"/>
  <c r="T44"/>
  <c r="T48"/>
  <c r="C7" i="104"/>
  <c r="F280" i="81"/>
  <c r="W280" s="1"/>
  <c r="I43" i="189" s="1"/>
  <c r="I39"/>
  <c r="L42"/>
  <c r="F269" i="44"/>
  <c r="W269" s="1"/>
  <c r="W268"/>
  <c r="C40" i="189"/>
  <c r="E268" i="44"/>
  <c r="V268"/>
  <c r="L40" i="189"/>
  <c r="C41"/>
  <c r="C43"/>
  <c r="C42"/>
  <c r="L47"/>
  <c r="L41"/>
  <c r="I46"/>
  <c r="G259" i="43"/>
  <c r="V259"/>
  <c r="Z259" s="1"/>
  <c r="G275" i="70"/>
  <c r="W275"/>
  <c r="G283"/>
  <c r="G278"/>
  <c r="B27" i="22"/>
  <c r="F273" i="78"/>
  <c r="G272"/>
  <c r="G279" i="79"/>
  <c r="F280"/>
  <c r="D62" i="38"/>
  <c r="D72"/>
  <c r="B17" i="19"/>
  <c r="B88" s="1"/>
  <c r="B67"/>
  <c r="B69" s="1"/>
  <c r="D68" s="1"/>
  <c r="B50" i="38"/>
  <c r="B51" s="1"/>
  <c r="B26" i="12" s="1"/>
  <c r="B46" i="38"/>
  <c r="F268" i="80"/>
  <c r="G267"/>
  <c r="B39" i="19"/>
  <c r="B58" s="1"/>
  <c r="B59" s="1"/>
  <c r="B61" s="1"/>
  <c r="F279" i="70"/>
  <c r="W279" s="1"/>
  <c r="F261" i="43"/>
  <c r="W261" s="1"/>
  <c r="B110"/>
  <c r="B86" i="19"/>
  <c r="E259" i="43"/>
  <c r="G274" i="77"/>
  <c r="B269" i="44"/>
  <c r="G268"/>
  <c r="B79" i="43"/>
  <c r="B38"/>
  <c r="B13" i="22"/>
  <c r="B39" i="16"/>
  <c r="B34"/>
  <c r="B26"/>
  <c r="B23"/>
  <c r="B19"/>
  <c r="B12"/>
  <c r="B11"/>
  <c r="B10"/>
  <c r="B9"/>
  <c r="B8"/>
  <c r="B7"/>
  <c r="B6"/>
  <c r="B45" i="19" l="1"/>
  <c r="M7" i="189"/>
  <c r="H39" s="1"/>
  <c r="Z274" i="77"/>
  <c r="K268" i="43"/>
  <c r="M268"/>
  <c r="I269" i="44"/>
  <c r="D13" i="182" s="1"/>
  <c r="K269" i="44"/>
  <c r="M269"/>
  <c r="D25" i="182" s="1"/>
  <c r="B269" i="43"/>
  <c r="K262"/>
  <c r="M262"/>
  <c r="V256"/>
  <c r="Z256" s="1"/>
  <c r="M256"/>
  <c r="K256"/>
  <c r="L16" i="189"/>
  <c r="K48" s="1"/>
  <c r="Z268" i="44"/>
  <c r="I284" i="70"/>
  <c r="D12" i="182" s="1"/>
  <c r="M284" i="70"/>
  <c r="K284"/>
  <c r="B265" i="43"/>
  <c r="G256"/>
  <c r="I256"/>
  <c r="G284" i="70"/>
  <c r="I261" i="43"/>
  <c r="X261"/>
  <c r="H262"/>
  <c r="B162"/>
  <c r="X280" i="81"/>
  <c r="M10" i="189"/>
  <c r="H42" s="1"/>
  <c r="L15"/>
  <c r="K47" s="1"/>
  <c r="I274" i="77"/>
  <c r="D4" i="182" s="1"/>
  <c r="X274" i="77"/>
  <c r="B40" i="22"/>
  <c r="I47" i="189"/>
  <c r="G268" i="80"/>
  <c r="W268"/>
  <c r="C47" i="189"/>
  <c r="G273" i="78"/>
  <c r="W273"/>
  <c r="E13" i="189"/>
  <c r="Q45" s="1"/>
  <c r="I48"/>
  <c r="L48"/>
  <c r="G269" i="44"/>
  <c r="V269"/>
  <c r="G280" i="79"/>
  <c r="W280"/>
  <c r="E269" i="44"/>
  <c r="G261" i="43"/>
  <c r="B121"/>
  <c r="C10" i="99" s="1"/>
  <c r="F262" i="43"/>
  <c r="W262" s="1"/>
  <c r="B13" i="16"/>
  <c r="B28"/>
  <c r="B39" i="21"/>
  <c r="B34"/>
  <c r="B26"/>
  <c r="B28" s="1"/>
  <c r="B22"/>
  <c r="B23" s="1"/>
  <c r="B19"/>
  <c r="B12"/>
  <c r="B11"/>
  <c r="B10"/>
  <c r="B9"/>
  <c r="B8"/>
  <c r="B7"/>
  <c r="B6"/>
  <c r="B38" i="23"/>
  <c r="E37"/>
  <c r="C37"/>
  <c r="B37"/>
  <c r="E36"/>
  <c r="C36"/>
  <c r="B36"/>
  <c r="E31"/>
  <c r="C31"/>
  <c r="C33" s="1"/>
  <c r="B31"/>
  <c r="E27"/>
  <c r="C27"/>
  <c r="B27"/>
  <c r="O27" s="1"/>
  <c r="C26"/>
  <c r="B26"/>
  <c r="J26" s="1"/>
  <c r="C22"/>
  <c r="C23" s="1"/>
  <c r="B22"/>
  <c r="B23" s="1"/>
  <c r="E18"/>
  <c r="C18"/>
  <c r="B18"/>
  <c r="M16" i="189" l="1"/>
  <c r="H48" s="1"/>
  <c r="Z269" i="44"/>
  <c r="H265" i="43"/>
  <c r="H270" s="1"/>
  <c r="X270" s="1"/>
  <c r="H269"/>
  <c r="X269" s="1"/>
  <c r="G12" i="189"/>
  <c r="S27" i="23"/>
  <c r="B13" i="189"/>
  <c r="B270" i="43"/>
  <c r="K265"/>
  <c r="M265"/>
  <c r="K269"/>
  <c r="G275" s="1"/>
  <c r="M269"/>
  <c r="H275" s="1"/>
  <c r="E10" i="104" s="1"/>
  <c r="J38" i="23"/>
  <c r="L38"/>
  <c r="N38"/>
  <c r="J23"/>
  <c r="L23"/>
  <c r="N23"/>
  <c r="J18"/>
  <c r="N18"/>
  <c r="Q259" i="43"/>
  <c r="X262"/>
  <c r="Q262"/>
  <c r="H60" i="3"/>
  <c r="I27" i="23"/>
  <c r="B28" i="192"/>
  <c r="L29" i="37"/>
  <c r="I40" i="189"/>
  <c r="I41"/>
  <c r="I42"/>
  <c r="H26" i="23"/>
  <c r="O26"/>
  <c r="S26" s="1"/>
  <c r="B33"/>
  <c r="O31"/>
  <c r="S31" s="1"/>
  <c r="H18"/>
  <c r="O18"/>
  <c r="S18" s="1"/>
  <c r="H23"/>
  <c r="O23"/>
  <c r="S23" s="1"/>
  <c r="H38"/>
  <c r="O38"/>
  <c r="S38" s="1"/>
  <c r="G27"/>
  <c r="F60" i="3"/>
  <c r="B28" i="111"/>
  <c r="J29" i="37"/>
  <c r="B13" i="21"/>
  <c r="B41" s="1"/>
  <c r="K28" s="1"/>
  <c r="E22" i="23"/>
  <c r="E23" s="1"/>
  <c r="F23" s="1"/>
  <c r="E26"/>
  <c r="E28" s="1"/>
  <c r="E38"/>
  <c r="F269" i="43"/>
  <c r="W269" s="1"/>
  <c r="F265"/>
  <c r="W265" s="1"/>
  <c r="C28" i="23"/>
  <c r="C38"/>
  <c r="D38" s="1"/>
  <c r="B41" i="16"/>
  <c r="K19" s="1"/>
  <c r="F18" i="23"/>
  <c r="D23"/>
  <c r="B28"/>
  <c r="D18"/>
  <c r="E16"/>
  <c r="C16"/>
  <c r="C19" s="1"/>
  <c r="B16"/>
  <c r="E12"/>
  <c r="C12"/>
  <c r="B12"/>
  <c r="E11"/>
  <c r="C11"/>
  <c r="B11"/>
  <c r="E10"/>
  <c r="C10"/>
  <c r="B10"/>
  <c r="E9"/>
  <c r="C9"/>
  <c r="B9"/>
  <c r="E8"/>
  <c r="C8"/>
  <c r="B8"/>
  <c r="E7"/>
  <c r="C7"/>
  <c r="B7"/>
  <c r="E6"/>
  <c r="C6"/>
  <c r="B6"/>
  <c r="Q257" i="43" l="1"/>
  <c r="Q263"/>
  <c r="Q260"/>
  <c r="Q261"/>
  <c r="Q265"/>
  <c r="Q256"/>
  <c r="Q258"/>
  <c r="Q264"/>
  <c r="X265"/>
  <c r="B271"/>
  <c r="K270"/>
  <c r="G276" s="1"/>
  <c r="M270"/>
  <c r="H276" s="1"/>
  <c r="H271"/>
  <c r="X271" s="1"/>
  <c r="J16" i="23"/>
  <c r="L16"/>
  <c r="N16"/>
  <c r="N33"/>
  <c r="L33"/>
  <c r="O28"/>
  <c r="S28" s="1"/>
  <c r="N28"/>
  <c r="F48" s="1"/>
  <c r="L28"/>
  <c r="E48" s="1"/>
  <c r="J30" i="37"/>
  <c r="L30"/>
  <c r="Q27" i="23"/>
  <c r="I28"/>
  <c r="H33"/>
  <c r="J33"/>
  <c r="B41" i="192"/>
  <c r="K34" s="1"/>
  <c r="H61" i="3"/>
  <c r="H64" s="1"/>
  <c r="J12" i="189"/>
  <c r="W44" s="1"/>
  <c r="F12"/>
  <c r="C45"/>
  <c r="D12"/>
  <c r="E44" s="1"/>
  <c r="E12"/>
  <c r="Q44" s="1"/>
  <c r="I12"/>
  <c r="T44" s="1"/>
  <c r="G28" i="23"/>
  <c r="P28" s="1"/>
  <c r="P27"/>
  <c r="H16"/>
  <c r="O16"/>
  <c r="S16" s="1"/>
  <c r="F22"/>
  <c r="K13" i="16"/>
  <c r="F26" i="23"/>
  <c r="F61" i="3"/>
  <c r="B41" i="111"/>
  <c r="C13" i="23"/>
  <c r="K28" i="16"/>
  <c r="K39"/>
  <c r="P260" i="43"/>
  <c r="P259"/>
  <c r="P258"/>
  <c r="F270"/>
  <c r="P257"/>
  <c r="P265"/>
  <c r="P264"/>
  <c r="P263"/>
  <c r="P256"/>
  <c r="P261"/>
  <c r="P262"/>
  <c r="K23" i="16"/>
  <c r="K34"/>
  <c r="B13" i="23"/>
  <c r="D28"/>
  <c r="E13"/>
  <c r="F16"/>
  <c r="K23" i="21"/>
  <c r="F28" i="23"/>
  <c r="B48" s="1"/>
  <c r="K13" i="21"/>
  <c r="B19" i="23"/>
  <c r="D16"/>
  <c r="E19"/>
  <c r="B9" i="99"/>
  <c r="K19" i="21"/>
  <c r="K39"/>
  <c r="K34"/>
  <c r="E9" i="104" l="1"/>
  <c r="B24" i="182"/>
  <c r="K12" i="189"/>
  <c r="B44" s="1"/>
  <c r="H12"/>
  <c r="M271" i="43"/>
  <c r="H277" s="1"/>
  <c r="K271"/>
  <c r="G277" s="1"/>
  <c r="L19" i="23"/>
  <c r="N19"/>
  <c r="J13"/>
  <c r="L13"/>
  <c r="N13"/>
  <c r="L42" i="37"/>
  <c r="J42"/>
  <c r="K23" i="192"/>
  <c r="H19" i="23"/>
  <c r="J19"/>
  <c r="T62" i="3"/>
  <c r="T64"/>
  <c r="T58"/>
  <c r="T57"/>
  <c r="T56"/>
  <c r="T63"/>
  <c r="T59"/>
  <c r="T55"/>
  <c r="Q28" i="23"/>
  <c r="J28"/>
  <c r="D48" s="1"/>
  <c r="I40"/>
  <c r="K28" i="192"/>
  <c r="K39"/>
  <c r="T60" i="3"/>
  <c r="T61"/>
  <c r="K19" i="192"/>
  <c r="H28" i="23"/>
  <c r="C48" s="1"/>
  <c r="G40"/>
  <c r="P40" s="1"/>
  <c r="L44" i="189" s="1"/>
  <c r="C44"/>
  <c r="C12"/>
  <c r="N44" s="1"/>
  <c r="F271" i="43"/>
  <c r="W271" s="1"/>
  <c r="W270"/>
  <c r="H13" i="23"/>
  <c r="O13"/>
  <c r="S13" s="1"/>
  <c r="K41" i="16"/>
  <c r="K23" i="111"/>
  <c r="K19"/>
  <c r="K39"/>
  <c r="K13"/>
  <c r="K34"/>
  <c r="K28"/>
  <c r="F64" i="3"/>
  <c r="S61" s="1"/>
  <c r="D13" i="23"/>
  <c r="F13"/>
  <c r="D19"/>
  <c r="F19"/>
  <c r="K41" i="21"/>
  <c r="B40" i="37"/>
  <c r="G39"/>
  <c r="D39"/>
  <c r="B39"/>
  <c r="G38"/>
  <c r="D38"/>
  <c r="B38"/>
  <c r="G33"/>
  <c r="G35" s="1"/>
  <c r="D33"/>
  <c r="D35" s="1"/>
  <c r="B33"/>
  <c r="B35" s="1"/>
  <c r="G29"/>
  <c r="D29" s="1"/>
  <c r="B29" s="1"/>
  <c r="D9" i="104" l="1"/>
  <c r="B9" i="182"/>
  <c r="N35" i="37"/>
  <c r="K35"/>
  <c r="N29"/>
  <c r="K29"/>
  <c r="K40"/>
  <c r="N40"/>
  <c r="L44"/>
  <c r="J44"/>
  <c r="G42" i="23"/>
  <c r="P42" s="1"/>
  <c r="I44" i="189" s="1"/>
  <c r="K41" i="192"/>
  <c r="C9" i="104"/>
  <c r="C9" i="99"/>
  <c r="C14" s="1"/>
  <c r="I42" i="23"/>
  <c r="Q40"/>
  <c r="L45" i="189"/>
  <c r="B12"/>
  <c r="I45"/>
  <c r="S56" i="3"/>
  <c r="S63"/>
  <c r="S55"/>
  <c r="S62"/>
  <c r="S58"/>
  <c r="S59"/>
  <c r="S57"/>
  <c r="S60"/>
  <c r="K41" i="111"/>
  <c r="D40" i="37"/>
  <c r="F40" s="1"/>
  <c r="F42" s="1"/>
  <c r="G40"/>
  <c r="F35"/>
  <c r="I35"/>
  <c r="B39" i="67" s="1"/>
  <c r="G28" i="37"/>
  <c r="G30" s="1"/>
  <c r="D28"/>
  <c r="D30" s="1"/>
  <c r="B28"/>
  <c r="G24"/>
  <c r="G25" s="1"/>
  <c r="D24"/>
  <c r="D25" s="1"/>
  <c r="B24"/>
  <c r="G20"/>
  <c r="D20"/>
  <c r="B20"/>
  <c r="G19"/>
  <c r="D19"/>
  <c r="B19"/>
  <c r="G15"/>
  <c r="D15"/>
  <c r="B15"/>
  <c r="G14"/>
  <c r="D14"/>
  <c r="B14"/>
  <c r="G13"/>
  <c r="D13"/>
  <c r="B13"/>
  <c r="G12"/>
  <c r="D12"/>
  <c r="B12"/>
  <c r="G11"/>
  <c r="D11"/>
  <c r="B11"/>
  <c r="G10"/>
  <c r="D10"/>
  <c r="B10"/>
  <c r="G9"/>
  <c r="D9"/>
  <c r="B9"/>
  <c r="N20" l="1"/>
  <c r="K20"/>
  <c r="K19"/>
  <c r="N19"/>
  <c r="N28"/>
  <c r="K28"/>
  <c r="Q42" i="23"/>
  <c r="G21" i="37"/>
  <c r="S64" i="3"/>
  <c r="D16" i="37"/>
  <c r="B21"/>
  <c r="D21"/>
  <c r="B16"/>
  <c r="F20"/>
  <c r="G16"/>
  <c r="B30"/>
  <c r="I19"/>
  <c r="B33" i="67" s="1"/>
  <c r="E32" s="1"/>
  <c r="F19" i="37"/>
  <c r="B25"/>
  <c r="I28"/>
  <c r="B63" i="3"/>
  <c r="N63" s="1"/>
  <c r="D62"/>
  <c r="C62"/>
  <c r="B62" s="1"/>
  <c r="N62" s="1"/>
  <c r="D60"/>
  <c r="C60"/>
  <c r="B60"/>
  <c r="N60" s="1"/>
  <c r="C59"/>
  <c r="D58"/>
  <c r="C58"/>
  <c r="B58"/>
  <c r="N58" s="1"/>
  <c r="D57"/>
  <c r="C57"/>
  <c r="B57"/>
  <c r="N57" s="1"/>
  <c r="D56"/>
  <c r="C56"/>
  <c r="B56"/>
  <c r="N56" s="1"/>
  <c r="C55"/>
  <c r="B55"/>
  <c r="N55" s="1"/>
  <c r="N25" i="37" l="1"/>
  <c r="K25"/>
  <c r="K21"/>
  <c r="N21"/>
  <c r="N16"/>
  <c r="K16"/>
  <c r="N30"/>
  <c r="K30"/>
  <c r="G56" i="3"/>
  <c r="G57"/>
  <c r="G63"/>
  <c r="G55"/>
  <c r="G58"/>
  <c r="G60"/>
  <c r="G62"/>
  <c r="I21" i="37"/>
  <c r="I16"/>
  <c r="G42"/>
  <c r="D42"/>
  <c r="I20"/>
  <c r="B34" i="67" s="1"/>
  <c r="F25" i="37"/>
  <c r="I29"/>
  <c r="B37" i="67" s="1"/>
  <c r="E36" s="1"/>
  <c r="D36" s="1"/>
  <c r="F16" i="37"/>
  <c r="F21"/>
  <c r="F30"/>
  <c r="E62" i="3"/>
  <c r="B59"/>
  <c r="N59" s="1"/>
  <c r="C61"/>
  <c r="I25" i="37"/>
  <c r="B42"/>
  <c r="I30"/>
  <c r="E56" i="3"/>
  <c r="E58"/>
  <c r="E60"/>
  <c r="E57"/>
  <c r="K42" i="37" l="1"/>
  <c r="N42"/>
  <c r="B61" i="3"/>
  <c r="N61" s="1"/>
  <c r="G59"/>
  <c r="I40" i="37"/>
  <c r="B40" i="67" s="1"/>
  <c r="B44" i="37"/>
  <c r="I42"/>
  <c r="K44" l="1"/>
  <c r="N44"/>
  <c r="G61" i="3"/>
  <c r="B64"/>
  <c r="N64" s="1"/>
  <c r="E38" i="13"/>
  <c r="C38"/>
  <c r="B38"/>
  <c r="E37"/>
  <c r="C37"/>
  <c r="B37"/>
  <c r="E33"/>
  <c r="C33"/>
  <c r="B33"/>
  <c r="E31"/>
  <c r="C31"/>
  <c r="B31"/>
  <c r="E22"/>
  <c r="E23" s="1"/>
  <c r="C22"/>
  <c r="C23" s="1"/>
  <c r="B22"/>
  <c r="B23" s="1"/>
  <c r="E18"/>
  <c r="D18" i="3" s="1"/>
  <c r="C18" i="13"/>
  <c r="B18"/>
  <c r="E17"/>
  <c r="D17" i="3" s="1"/>
  <c r="C17" i="13"/>
  <c r="B17"/>
  <c r="E16"/>
  <c r="D16" i="3" s="1"/>
  <c r="C16" i="13"/>
  <c r="B16"/>
  <c r="E12"/>
  <c r="C12"/>
  <c r="B12"/>
  <c r="E11"/>
  <c r="C11"/>
  <c r="B11"/>
  <c r="E10"/>
  <c r="C10"/>
  <c r="B10"/>
  <c r="E9"/>
  <c r="C9"/>
  <c r="B9"/>
  <c r="E8"/>
  <c r="C8"/>
  <c r="B8"/>
  <c r="E7"/>
  <c r="C7"/>
  <c r="B7"/>
  <c r="E6"/>
  <c r="C6"/>
  <c r="B6"/>
  <c r="B38" i="12"/>
  <c r="B34"/>
  <c r="B27"/>
  <c r="B27" i="13" s="1"/>
  <c r="B26"/>
  <c r="B23" i="12"/>
  <c r="B19"/>
  <c r="B13"/>
  <c r="B39" i="1"/>
  <c r="B34"/>
  <c r="B27"/>
  <c r="C27" i="13" s="1"/>
  <c r="B23" i="1"/>
  <c r="B19"/>
  <c r="B34" i="13" l="1"/>
  <c r="D34" s="1"/>
  <c r="E39"/>
  <c r="C39"/>
  <c r="C19"/>
  <c r="C34"/>
  <c r="C13"/>
  <c r="B39"/>
  <c r="P61" i="3"/>
  <c r="G64"/>
  <c r="P62"/>
  <c r="P60"/>
  <c r="P55"/>
  <c r="P59"/>
  <c r="P57"/>
  <c r="P56"/>
  <c r="P58"/>
  <c r="P63"/>
  <c r="B27" i="67" s="1"/>
  <c r="E26" s="1"/>
  <c r="D26" s="1"/>
  <c r="B13" i="13"/>
  <c r="C17" i="3"/>
  <c r="B17"/>
  <c r="E13" i="13"/>
  <c r="F16"/>
  <c r="F17"/>
  <c r="F18"/>
  <c r="F31"/>
  <c r="B28"/>
  <c r="D23"/>
  <c r="B28" i="12"/>
  <c r="B40" s="1"/>
  <c r="E19" i="13"/>
  <c r="F22"/>
  <c r="E34"/>
  <c r="B19"/>
  <c r="C16" i="3"/>
  <c r="D44"/>
  <c r="C18"/>
  <c r="D45"/>
  <c r="D19"/>
  <c r="B13" i="1"/>
  <c r="B39" i="20"/>
  <c r="B34"/>
  <c r="B27"/>
  <c r="B26"/>
  <c r="E26" i="13" s="1"/>
  <c r="B23" i="20"/>
  <c r="B19"/>
  <c r="B13"/>
  <c r="G40" i="36"/>
  <c r="D40"/>
  <c r="B40"/>
  <c r="G39"/>
  <c r="D39"/>
  <c r="B39"/>
  <c r="G35"/>
  <c r="D35"/>
  <c r="B35"/>
  <c r="G34"/>
  <c r="D34"/>
  <c r="B34"/>
  <c r="M40" l="1"/>
  <c r="Q40"/>
  <c r="O40"/>
  <c r="M35"/>
  <c r="Q35"/>
  <c r="O35"/>
  <c r="M34"/>
  <c r="O34"/>
  <c r="Q34"/>
  <c r="M39"/>
  <c r="O39"/>
  <c r="Q39"/>
  <c r="F34" i="13"/>
  <c r="K35" i="36"/>
  <c r="K40"/>
  <c r="K39"/>
  <c r="U34"/>
  <c r="Y34" s="1"/>
  <c r="D39" i="13"/>
  <c r="F39"/>
  <c r="F13"/>
  <c r="D13"/>
  <c r="D41" i="36"/>
  <c r="D36"/>
  <c r="B41" i="13"/>
  <c r="P64" i="3"/>
  <c r="B36" i="36"/>
  <c r="K34"/>
  <c r="G36"/>
  <c r="B41"/>
  <c r="G41"/>
  <c r="L28" i="12"/>
  <c r="D26" i="3"/>
  <c r="I34" i="36"/>
  <c r="I39"/>
  <c r="B28" i="20"/>
  <c r="D19" i="13"/>
  <c r="F26"/>
  <c r="L23" i="12"/>
  <c r="L19"/>
  <c r="L13"/>
  <c r="L38"/>
  <c r="L34"/>
  <c r="B16" i="3"/>
  <c r="C44"/>
  <c r="C19"/>
  <c r="B18"/>
  <c r="C45"/>
  <c r="G30" i="36"/>
  <c r="D30" s="1"/>
  <c r="B30" s="1"/>
  <c r="M41" l="1"/>
  <c r="O41"/>
  <c r="Q41"/>
  <c r="M36"/>
  <c r="O36"/>
  <c r="Q36"/>
  <c r="M30"/>
  <c r="O30"/>
  <c r="Q30"/>
  <c r="U41"/>
  <c r="Y41" s="1"/>
  <c r="U36"/>
  <c r="Y36" s="1"/>
  <c r="K30"/>
  <c r="U30"/>
  <c r="Y30" s="1"/>
  <c r="F41"/>
  <c r="I36"/>
  <c r="F36"/>
  <c r="I41"/>
  <c r="G85"/>
  <c r="I35"/>
  <c r="K36"/>
  <c r="I40"/>
  <c r="K41"/>
  <c r="B26" i="3"/>
  <c r="B41" i="20"/>
  <c r="L28" s="1"/>
  <c r="B45" i="3"/>
  <c r="B44"/>
  <c r="B19"/>
  <c r="G29" i="36"/>
  <c r="B29"/>
  <c r="G25"/>
  <c r="G26" s="1"/>
  <c r="D25"/>
  <c r="B25"/>
  <c r="M25" s="1"/>
  <c r="G21"/>
  <c r="D21"/>
  <c r="B21"/>
  <c r="G20"/>
  <c r="D20"/>
  <c r="B20"/>
  <c r="G19"/>
  <c r="D19"/>
  <c r="B19"/>
  <c r="D15"/>
  <c r="B15"/>
  <c r="M15" s="1"/>
  <c r="G14"/>
  <c r="D14"/>
  <c r="B14"/>
  <c r="M14" s="1"/>
  <c r="G13"/>
  <c r="D13"/>
  <c r="B13"/>
  <c r="G12"/>
  <c r="D12"/>
  <c r="B12"/>
  <c r="M12" s="1"/>
  <c r="G11"/>
  <c r="D11"/>
  <c r="B11"/>
  <c r="M11" s="1"/>
  <c r="G10"/>
  <c r="D10"/>
  <c r="B10"/>
  <c r="M10" s="1"/>
  <c r="G9"/>
  <c r="D9"/>
  <c r="B9"/>
  <c r="M9" s="1"/>
  <c r="E276" i="70"/>
  <c r="N45" i="3" l="1"/>
  <c r="K45"/>
  <c r="M45"/>
  <c r="I45"/>
  <c r="N44"/>
  <c r="M44"/>
  <c r="K44"/>
  <c r="I44"/>
  <c r="M29" i="36"/>
  <c r="O29"/>
  <c r="Q29"/>
  <c r="M21"/>
  <c r="Q21"/>
  <c r="O21"/>
  <c r="M19"/>
  <c r="O19"/>
  <c r="Q19"/>
  <c r="M20"/>
  <c r="O20"/>
  <c r="Q20"/>
  <c r="J6" i="189"/>
  <c r="W38" s="1"/>
  <c r="G45" i="3"/>
  <c r="I6" i="189"/>
  <c r="T38" s="1"/>
  <c r="G44" i="3"/>
  <c r="K11" i="36"/>
  <c r="K15"/>
  <c r="K12"/>
  <c r="U25"/>
  <c r="Y25" s="1"/>
  <c r="K25"/>
  <c r="K9"/>
  <c r="U29"/>
  <c r="Y29" s="1"/>
  <c r="K10"/>
  <c r="K14"/>
  <c r="G6" i="189"/>
  <c r="K19" i="36"/>
  <c r="U19"/>
  <c r="Y19" s="1"/>
  <c r="K21"/>
  <c r="U21"/>
  <c r="Y21" s="1"/>
  <c r="B31"/>
  <c r="K29"/>
  <c r="B84"/>
  <c r="K20"/>
  <c r="I25"/>
  <c r="G277" i="70"/>
  <c r="D16" i="36"/>
  <c r="I14"/>
  <c r="B22"/>
  <c r="G22"/>
  <c r="I15"/>
  <c r="I10"/>
  <c r="I12"/>
  <c r="I21"/>
  <c r="B16"/>
  <c r="I9"/>
  <c r="I11"/>
  <c r="D22"/>
  <c r="I20"/>
  <c r="G31"/>
  <c r="I29"/>
  <c r="G16"/>
  <c r="G82" s="1"/>
  <c r="L39" i="20"/>
  <c r="L34"/>
  <c r="L23"/>
  <c r="L19"/>
  <c r="L13"/>
  <c r="E277" i="70"/>
  <c r="I19" i="36"/>
  <c r="E44" i="3"/>
  <c r="E45"/>
  <c r="B12" i="104"/>
  <c r="M16" i="36" l="1"/>
  <c r="Q16"/>
  <c r="O16"/>
  <c r="M22"/>
  <c r="O22"/>
  <c r="Q22"/>
  <c r="M31"/>
  <c r="O31"/>
  <c r="G91" s="1"/>
  <c r="Q31"/>
  <c r="I91" s="1"/>
  <c r="B26" i="182" s="1"/>
  <c r="E6" i="189"/>
  <c r="Q38" s="1"/>
  <c r="I31" i="36"/>
  <c r="B91" s="1"/>
  <c r="U16"/>
  <c r="Y16" s="1"/>
  <c r="K22"/>
  <c r="U31"/>
  <c r="Y31" s="1"/>
  <c r="F6" i="189"/>
  <c r="D6"/>
  <c r="E38" s="1"/>
  <c r="C6"/>
  <c r="N38" s="1"/>
  <c r="I22" i="36"/>
  <c r="F22"/>
  <c r="I30"/>
  <c r="K31"/>
  <c r="F16"/>
  <c r="K16"/>
  <c r="B279" i="70"/>
  <c r="I16" i="36"/>
  <c r="D271" i="70"/>
  <c r="D272" s="1"/>
  <c r="P261" s="1"/>
  <c r="E11" i="67"/>
  <c r="E9"/>
  <c r="E8"/>
  <c r="E7"/>
  <c r="E6"/>
  <c r="E5"/>
  <c r="E4"/>
  <c r="B41"/>
  <c r="I279" i="70" l="1"/>
  <c r="M279"/>
  <c r="K279"/>
  <c r="D91" i="36"/>
  <c r="H6" i="189"/>
  <c r="B6"/>
  <c r="K6"/>
  <c r="B38" s="1"/>
  <c r="G279" i="70"/>
  <c r="V279"/>
  <c r="Z279" s="1"/>
  <c r="P267"/>
  <c r="P269"/>
  <c r="D278"/>
  <c r="D279" s="1"/>
  <c r="E279" s="1"/>
  <c r="D283"/>
  <c r="E271"/>
  <c r="D40" i="67" s="1"/>
  <c r="D4"/>
  <c r="P262" i="70"/>
  <c r="D5" i="67" s="1"/>
  <c r="P263" i="70"/>
  <c r="D6" i="67" s="1"/>
  <c r="P264" i="70"/>
  <c r="D7" i="67" s="1"/>
  <c r="P265" i="70"/>
  <c r="D8" i="67" s="1"/>
  <c r="P266" i="70"/>
  <c r="D9" i="67" s="1"/>
  <c r="P270" i="70"/>
  <c r="D11" i="67" s="1"/>
  <c r="P272" i="70"/>
  <c r="E272"/>
  <c r="D41" i="67" s="1"/>
  <c r="P268" i="70"/>
  <c r="D10" i="67" s="1"/>
  <c r="P271" i="70"/>
  <c r="D12" i="67" s="1"/>
  <c r="B267" i="81"/>
  <c r="D267"/>
  <c r="K267" l="1"/>
  <c r="M267"/>
  <c r="V267"/>
  <c r="Z267" s="1"/>
  <c r="I267"/>
  <c r="M15" i="189"/>
  <c r="H47" s="1"/>
  <c r="E278" i="70"/>
  <c r="E283"/>
  <c r="D284"/>
  <c r="E284" s="1"/>
  <c r="B275" i="81"/>
  <c r="G267"/>
  <c r="E267"/>
  <c r="D55" i="3"/>
  <c r="D59"/>
  <c r="D61" s="1"/>
  <c r="E61" s="1"/>
  <c r="B9" i="104" s="1"/>
  <c r="D63" i="3"/>
  <c r="E63" s="1"/>
  <c r="D6"/>
  <c r="D7"/>
  <c r="D8"/>
  <c r="D9"/>
  <c r="D10"/>
  <c r="D11"/>
  <c r="D12"/>
  <c r="D22"/>
  <c r="D23" s="1"/>
  <c r="D31"/>
  <c r="D32"/>
  <c r="D35"/>
  <c r="D36"/>
  <c r="B6"/>
  <c r="B7"/>
  <c r="B8"/>
  <c r="B9"/>
  <c r="B10"/>
  <c r="B11"/>
  <c r="B12"/>
  <c r="B22"/>
  <c r="B23" s="1"/>
  <c r="B31"/>
  <c r="B32"/>
  <c r="B35"/>
  <c r="B36"/>
  <c r="C6"/>
  <c r="C7"/>
  <c r="C8"/>
  <c r="C9"/>
  <c r="C10"/>
  <c r="C11"/>
  <c r="C12"/>
  <c r="C22"/>
  <c r="C23" s="1"/>
  <c r="C31"/>
  <c r="C32"/>
  <c r="C35"/>
  <c r="C36"/>
  <c r="C63"/>
  <c r="E55"/>
  <c r="I275" i="81" l="1"/>
  <c r="M275"/>
  <c r="K275"/>
  <c r="C11" i="189"/>
  <c r="N43" s="1"/>
  <c r="O270" i="81"/>
  <c r="V275"/>
  <c r="Z275" s="1"/>
  <c r="O266"/>
  <c r="B46" i="3"/>
  <c r="E59"/>
  <c r="D46"/>
  <c r="O267" i="81"/>
  <c r="C37" i="3"/>
  <c r="C49" s="1"/>
  <c r="C33"/>
  <c r="C48" s="1"/>
  <c r="B37"/>
  <c r="B49" s="1"/>
  <c r="B33"/>
  <c r="B48" s="1"/>
  <c r="D37"/>
  <c r="D49" s="1"/>
  <c r="O272" i="81"/>
  <c r="G275"/>
  <c r="O265"/>
  <c r="O275"/>
  <c r="O268"/>
  <c r="O274"/>
  <c r="O271"/>
  <c r="B279"/>
  <c r="O273"/>
  <c r="O269"/>
  <c r="C46" i="3"/>
  <c r="D13"/>
  <c r="D43" s="1"/>
  <c r="D33"/>
  <c r="D48" s="1"/>
  <c r="C13"/>
  <c r="C43" s="1"/>
  <c r="B13"/>
  <c r="B43" s="1"/>
  <c r="C64"/>
  <c r="Q60" s="1"/>
  <c r="D64"/>
  <c r="R61" s="1"/>
  <c r="N49" l="1"/>
  <c r="K49"/>
  <c r="M49"/>
  <c r="I49"/>
  <c r="N48"/>
  <c r="K48"/>
  <c r="M48"/>
  <c r="I48"/>
  <c r="N43"/>
  <c r="M43"/>
  <c r="K43"/>
  <c r="I43"/>
  <c r="M279" i="81"/>
  <c r="C23" i="182" s="1"/>
  <c r="K279" i="81"/>
  <c r="N46" i="3"/>
  <c r="M46"/>
  <c r="I46"/>
  <c r="K46"/>
  <c r="V279" i="81"/>
  <c r="Z279" s="1"/>
  <c r="I279"/>
  <c r="C8" i="182" s="1"/>
  <c r="G43" i="3"/>
  <c r="G48"/>
  <c r="G49"/>
  <c r="G46"/>
  <c r="E49"/>
  <c r="E46"/>
  <c r="Q57"/>
  <c r="Q63"/>
  <c r="Q56"/>
  <c r="B280" i="81"/>
  <c r="G279"/>
  <c r="E43" i="3"/>
  <c r="Q61"/>
  <c r="Q55"/>
  <c r="Q58"/>
  <c r="Q59"/>
  <c r="Q62"/>
  <c r="R57"/>
  <c r="B6" i="67" s="1"/>
  <c r="R58" i="3"/>
  <c r="B7" i="67" s="1"/>
  <c r="R59" i="3"/>
  <c r="B8" i="67" s="1"/>
  <c r="R62" i="3"/>
  <c r="B11" i="67" s="1"/>
  <c r="R63" i="3"/>
  <c r="B12" i="67" s="1"/>
  <c r="R55" i="3"/>
  <c r="R60"/>
  <c r="B9" i="67" s="1"/>
  <c r="E64" i="3"/>
  <c r="E48"/>
  <c r="R56"/>
  <c r="E27" i="13"/>
  <c r="D27" i="3" s="1"/>
  <c r="B27"/>
  <c r="B28" s="1"/>
  <c r="C27"/>
  <c r="G84" i="36"/>
  <c r="G83" s="1"/>
  <c r="G86" s="1"/>
  <c r="B82"/>
  <c r="B85"/>
  <c r="B83" s="1"/>
  <c r="D256" i="43"/>
  <c r="E256" s="1"/>
  <c r="C32" i="67" s="1"/>
  <c r="D260" i="43"/>
  <c r="D268" s="1"/>
  <c r="B26" i="36"/>
  <c r="D26"/>
  <c r="G43"/>
  <c r="G45" s="1"/>
  <c r="B26" i="67"/>
  <c r="D25"/>
  <c r="E24"/>
  <c r="D24"/>
  <c r="B24"/>
  <c r="E23"/>
  <c r="D23"/>
  <c r="B23"/>
  <c r="E22"/>
  <c r="D22"/>
  <c r="B22"/>
  <c r="E21"/>
  <c r="D21"/>
  <c r="B21"/>
  <c r="E20"/>
  <c r="D20"/>
  <c r="B20"/>
  <c r="E19"/>
  <c r="D19"/>
  <c r="B19"/>
  <c r="E12"/>
  <c r="B36"/>
  <c r="E35"/>
  <c r="D35"/>
  <c r="C35"/>
  <c r="B35"/>
  <c r="G44" i="37"/>
  <c r="I44" s="1"/>
  <c r="D44"/>
  <c r="F44" s="1"/>
  <c r="E33" i="23"/>
  <c r="E40" s="1"/>
  <c r="B40"/>
  <c r="D33"/>
  <c r="C40"/>
  <c r="C42" s="1"/>
  <c r="B32" i="67"/>
  <c r="E27"/>
  <c r="E261" i="43"/>
  <c r="C37" i="67" s="1"/>
  <c r="F38" i="23"/>
  <c r="D40"/>
  <c r="B16" i="99"/>
  <c r="B13"/>
  <c r="B12"/>
  <c r="B11"/>
  <c r="B10"/>
  <c r="I280" i="81" l="1"/>
  <c r="D8" i="182" s="1"/>
  <c r="K280" i="81"/>
  <c r="M280"/>
  <c r="D23" i="182" s="1"/>
  <c r="L40" i="23"/>
  <c r="E49" s="1"/>
  <c r="N40"/>
  <c r="F49" s="1"/>
  <c r="C24" i="182" s="1"/>
  <c r="M26" i="36"/>
  <c r="O26"/>
  <c r="Q26"/>
  <c r="L11" i="189"/>
  <c r="K43" s="1"/>
  <c r="O40" i="23"/>
  <c r="S40" s="1"/>
  <c r="J40"/>
  <c r="D49" s="1"/>
  <c r="C9" i="182" s="1"/>
  <c r="V260" i="43"/>
  <c r="Z260" s="1"/>
  <c r="I260"/>
  <c r="E268"/>
  <c r="B43" i="36"/>
  <c r="G280" i="81"/>
  <c r="V280"/>
  <c r="Z280" s="1"/>
  <c r="F27" i="13"/>
  <c r="E260" i="43"/>
  <c r="C36" i="67" s="1"/>
  <c r="D262" i="43"/>
  <c r="D265" s="1"/>
  <c r="F33" i="23"/>
  <c r="B4" i="67"/>
  <c r="R64" i="3"/>
  <c r="Q64"/>
  <c r="B42" i="23"/>
  <c r="H40"/>
  <c r="C49" s="1"/>
  <c r="I26" i="36"/>
  <c r="K26"/>
  <c r="I262" i="43"/>
  <c r="G260"/>
  <c r="E28" i="13"/>
  <c r="B5" i="67"/>
  <c r="F26" i="36"/>
  <c r="E42" i="23"/>
  <c r="F40"/>
  <c r="B49" s="1"/>
  <c r="B86" i="36"/>
  <c r="D82" s="1"/>
  <c r="B39" i="3"/>
  <c r="P28" s="1"/>
  <c r="B47"/>
  <c r="I84" i="36"/>
  <c r="I85"/>
  <c r="I82"/>
  <c r="I83"/>
  <c r="D28" i="3"/>
  <c r="N47" l="1"/>
  <c r="K47"/>
  <c r="M47"/>
  <c r="I47"/>
  <c r="L42" i="23"/>
  <c r="E50" s="1"/>
  <c r="N42"/>
  <c r="F50" s="1"/>
  <c r="D24" i="182" s="1"/>
  <c r="O43" i="36"/>
  <c r="G92" s="1"/>
  <c r="Q43"/>
  <c r="I92" s="1"/>
  <c r="C26" i="182" s="1"/>
  <c r="B45" i="36"/>
  <c r="M43"/>
  <c r="D42" i="23"/>
  <c r="J42"/>
  <c r="D50" s="1"/>
  <c r="D9" i="182" s="1"/>
  <c r="G47" i="3"/>
  <c r="G268" i="43"/>
  <c r="I268"/>
  <c r="L12" i="189"/>
  <c r="K44" s="1"/>
  <c r="F13"/>
  <c r="V268" i="43"/>
  <c r="Z268" s="1"/>
  <c r="U43" i="36"/>
  <c r="Y43" s="1"/>
  <c r="I43"/>
  <c r="B92" s="1"/>
  <c r="K43"/>
  <c r="D92" s="1"/>
  <c r="M11" i="189"/>
  <c r="H43" s="1"/>
  <c r="H42" i="23"/>
  <c r="C50" s="1"/>
  <c r="O42"/>
  <c r="S42" s="1"/>
  <c r="G262" i="43"/>
  <c r="V262"/>
  <c r="Z262" s="1"/>
  <c r="O257"/>
  <c r="C5" i="67" s="1"/>
  <c r="O259" i="43"/>
  <c r="C7" i="67" s="1"/>
  <c r="O260" i="43"/>
  <c r="C8" i="67" s="1"/>
  <c r="O264" i="43"/>
  <c r="C12" i="67" s="1"/>
  <c r="O261" i="43"/>
  <c r="C9" i="67" s="1"/>
  <c r="O263" i="43"/>
  <c r="C11" i="67" s="1"/>
  <c r="O262" i="43"/>
  <c r="O265"/>
  <c r="D270"/>
  <c r="O258"/>
  <c r="C6" i="67" s="1"/>
  <c r="O256" i="43"/>
  <c r="C4" i="67" s="1"/>
  <c r="D269" i="43"/>
  <c r="F42" i="23"/>
  <c r="B50" s="1"/>
  <c r="D83" i="36"/>
  <c r="D84"/>
  <c r="D85"/>
  <c r="E262" i="43"/>
  <c r="I265"/>
  <c r="E41" i="13"/>
  <c r="F28"/>
  <c r="P17" i="3"/>
  <c r="P22"/>
  <c r="P27"/>
  <c r="P37"/>
  <c r="P13"/>
  <c r="P18"/>
  <c r="P26"/>
  <c r="P33"/>
  <c r="D39"/>
  <c r="D47"/>
  <c r="B50"/>
  <c r="N50" l="1"/>
  <c r="K50"/>
  <c r="M50"/>
  <c r="I50"/>
  <c r="M45" i="36"/>
  <c r="O45"/>
  <c r="G93" s="1"/>
  <c r="Q45"/>
  <c r="I93" s="1"/>
  <c r="D26" i="182" s="1"/>
  <c r="K45" i="36"/>
  <c r="D93" s="1"/>
  <c r="I45"/>
  <c r="B93" s="1"/>
  <c r="U45"/>
  <c r="Y45" s="1"/>
  <c r="V269" i="43"/>
  <c r="Z269" s="1"/>
  <c r="I269"/>
  <c r="F275" s="1"/>
  <c r="L6" i="189"/>
  <c r="K38" s="1"/>
  <c r="M12"/>
  <c r="H44" s="1"/>
  <c r="H13"/>
  <c r="N262" i="43"/>
  <c r="V265"/>
  <c r="Z265" s="1"/>
  <c r="D271"/>
  <c r="G269"/>
  <c r="D275" s="1"/>
  <c r="E269"/>
  <c r="B275" s="1"/>
  <c r="N265"/>
  <c r="I270"/>
  <c r="F276" s="1"/>
  <c r="C10" i="182" s="1"/>
  <c r="N263" i="43"/>
  <c r="C26" i="67" s="1"/>
  <c r="G265" i="43"/>
  <c r="N256"/>
  <c r="C19" i="67" s="1"/>
  <c r="N258" i="43"/>
  <c r="C21" i="67" s="1"/>
  <c r="N260" i="43"/>
  <c r="C23" i="67" s="1"/>
  <c r="N264" i="43"/>
  <c r="C27" i="67" s="1"/>
  <c r="N257" i="43"/>
  <c r="C20" i="67" s="1"/>
  <c r="N259" i="43"/>
  <c r="C22" i="67" s="1"/>
  <c r="E265" i="43"/>
  <c r="C41" i="67" s="1"/>
  <c r="N261" i="43"/>
  <c r="C24" i="67" s="1"/>
  <c r="P47" i="3"/>
  <c r="G50"/>
  <c r="E43" i="13"/>
  <c r="F41"/>
  <c r="R17" i="3"/>
  <c r="R22"/>
  <c r="R37"/>
  <c r="R13"/>
  <c r="R18"/>
  <c r="R26"/>
  <c r="R33"/>
  <c r="R27"/>
  <c r="P39"/>
  <c r="P44"/>
  <c r="P45"/>
  <c r="P43"/>
  <c r="P48"/>
  <c r="P49"/>
  <c r="P50"/>
  <c r="P46"/>
  <c r="D50"/>
  <c r="E47"/>
  <c r="R28"/>
  <c r="D10" i="104" l="1"/>
  <c r="B10" i="182"/>
  <c r="M6" i="189"/>
  <c r="H38" s="1"/>
  <c r="K13"/>
  <c r="B45" s="1"/>
  <c r="E270" i="43"/>
  <c r="B276" s="1"/>
  <c r="V270"/>
  <c r="Z270" s="1"/>
  <c r="G270"/>
  <c r="D276" s="1"/>
  <c r="I271"/>
  <c r="F277" s="1"/>
  <c r="D10" i="182" s="1"/>
  <c r="C10" i="104"/>
  <c r="B10"/>
  <c r="R44" i="3"/>
  <c r="R46"/>
  <c r="R43"/>
  <c r="R49"/>
  <c r="R45"/>
  <c r="E50"/>
  <c r="R50"/>
  <c r="R48"/>
  <c r="R47"/>
  <c r="R39"/>
  <c r="D268" i="77"/>
  <c r="E268" s="1"/>
  <c r="D269" l="1"/>
  <c r="D273" s="1"/>
  <c r="E273" s="1"/>
  <c r="L13" i="189"/>
  <c r="K45" s="1"/>
  <c r="G271" i="43"/>
  <c r="D277" s="1"/>
  <c r="V271"/>
  <c r="Z271" s="1"/>
  <c r="E271"/>
  <c r="B277" s="1"/>
  <c r="D274" i="79"/>
  <c r="D275" s="1"/>
  <c r="D279" s="1"/>
  <c r="O266"/>
  <c r="P264" i="77" l="1"/>
  <c r="P262"/>
  <c r="P263"/>
  <c r="P269"/>
  <c r="E269"/>
  <c r="P260"/>
  <c r="D274"/>
  <c r="E274" s="1"/>
  <c r="P261"/>
  <c r="P267"/>
  <c r="P265"/>
  <c r="P268"/>
  <c r="P266"/>
  <c r="M13" i="189"/>
  <c r="H45" s="1"/>
  <c r="E274" i="79"/>
  <c r="P267"/>
  <c r="P274"/>
  <c r="P275"/>
  <c r="E275"/>
  <c r="P273"/>
  <c r="P272"/>
  <c r="P266"/>
  <c r="P271"/>
  <c r="P270"/>
  <c r="P268"/>
  <c r="P269"/>
  <c r="E279"/>
  <c r="D280"/>
  <c r="E280" s="1"/>
  <c r="D262" i="80"/>
  <c r="D263"/>
  <c r="D267" s="1"/>
  <c r="E262"/>
  <c r="P260" l="1"/>
  <c r="P261"/>
  <c r="P255"/>
  <c r="P262"/>
  <c r="P254"/>
  <c r="P256"/>
  <c r="P259"/>
  <c r="E263"/>
  <c r="P257"/>
  <c r="P263"/>
  <c r="P258"/>
  <c r="E267"/>
  <c r="D268"/>
  <c r="E268" s="1"/>
  <c r="D274" i="81"/>
  <c r="E274" s="1"/>
  <c r="D273" i="82" l="1"/>
  <c r="E273" l="1"/>
  <c r="D274"/>
  <c r="D278" s="1"/>
  <c r="E278" s="1"/>
  <c r="B45" i="2"/>
  <c r="B56" i="11"/>
  <c r="B26" i="1" s="1"/>
  <c r="B43" i="13"/>
  <c r="F43" s="1"/>
  <c r="P273" i="82" l="1"/>
  <c r="E274"/>
  <c r="D279"/>
  <c r="E279" s="1"/>
  <c r="P265"/>
  <c r="P266"/>
  <c r="P264"/>
  <c r="P274"/>
  <c r="P268"/>
  <c r="P272"/>
  <c r="P267"/>
  <c r="P263"/>
  <c r="P269"/>
  <c r="C26" i="13"/>
  <c r="C26" i="3" s="1"/>
  <c r="C28" s="1"/>
  <c r="B28" i="1"/>
  <c r="B41" s="1"/>
  <c r="L19" s="1"/>
  <c r="D29" i="36"/>
  <c r="D31" l="1"/>
  <c r="C28" i="13"/>
  <c r="C41" s="1"/>
  <c r="L28" i="1"/>
  <c r="L39"/>
  <c r="L23"/>
  <c r="L34"/>
  <c r="L13"/>
  <c r="C39" i="3"/>
  <c r="C47"/>
  <c r="F31" i="36" l="1"/>
  <c r="F91"/>
  <c r="B14" i="182" s="1"/>
  <c r="D43" i="36"/>
  <c r="F43" s="1"/>
  <c r="D28" i="13"/>
  <c r="C43"/>
  <c r="D43" s="1"/>
  <c r="D41"/>
  <c r="Q13" i="3"/>
  <c r="Q18"/>
  <c r="Q33"/>
  <c r="Q17"/>
  <c r="Q22"/>
  <c r="Q27"/>
  <c r="Q37"/>
  <c r="Q26"/>
  <c r="C50"/>
  <c r="Q47" s="1"/>
  <c r="Q28"/>
  <c r="D45" i="36" l="1"/>
  <c r="F92"/>
  <c r="C14" i="182" s="1"/>
  <c r="Q43" i="3"/>
  <c r="Q46"/>
  <c r="Q45"/>
  <c r="Q50"/>
  <c r="Q49"/>
  <c r="Q48"/>
  <c r="Q44"/>
  <c r="Q39"/>
  <c r="D79" i="19"/>
  <c r="B83"/>
  <c r="B67" i="81"/>
  <c r="D270" s="1"/>
  <c r="B87" i="19"/>
  <c r="B89"/>
  <c r="B72" i="11"/>
  <c r="D72"/>
  <c r="B82"/>
  <c r="B83" s="1"/>
  <c r="B85" s="1"/>
  <c r="C7" i="45"/>
  <c r="D7" s="1"/>
  <c r="F45" i="36" l="1"/>
  <c r="F93"/>
  <c r="D14" i="182" s="1"/>
  <c r="B70" i="81"/>
  <c r="B82"/>
  <c r="B8" i="99" s="1"/>
  <c r="B14" s="1"/>
  <c r="E270" i="81"/>
  <c r="D272"/>
  <c r="D275" s="1"/>
  <c r="P270" s="1"/>
  <c r="P273" l="1"/>
  <c r="E275"/>
  <c r="P274"/>
  <c r="P269"/>
  <c r="D279"/>
  <c r="P266"/>
  <c r="P271"/>
  <c r="P268"/>
  <c r="P275"/>
  <c r="P265"/>
  <c r="P267"/>
  <c r="D278"/>
  <c r="E278" s="1"/>
  <c r="B8" i="104" s="1"/>
  <c r="E272" i="81"/>
  <c r="P272"/>
  <c r="D280" l="1"/>
  <c r="E280" s="1"/>
  <c r="E279"/>
  <c r="E59" i="247"/>
</calcChain>
</file>

<file path=xl/comments1.xml><?xml version="1.0" encoding="utf-8"?>
<comments xmlns="http://schemas.openxmlformats.org/spreadsheetml/2006/main">
  <authors>
    <author xml:space="preserve"> Annie</author>
  </authors>
  <commentList>
    <comment ref="B6" authorId="0">
      <text>
        <r>
          <rPr>
            <b/>
            <sz val="8"/>
            <color indexed="81"/>
            <rFont val="Tahoma"/>
            <family val="2"/>
          </rPr>
          <t xml:space="preserve"> Annie:</t>
        </r>
        <r>
          <rPr>
            <sz val="8"/>
            <color indexed="81"/>
            <rFont val="Tahoma"/>
            <family val="2"/>
          </rPr>
          <t xml:space="preserve">
All figures revised April 2012 to nearest 1/10 %</t>
        </r>
      </text>
    </comment>
  </commentList>
</comments>
</file>

<file path=xl/comments2.xml><?xml version="1.0" encoding="utf-8"?>
<comments xmlns="http://schemas.openxmlformats.org/spreadsheetml/2006/main">
  <authors>
    <author xml:space="preserve"> Annie</author>
  </authors>
  <commentList>
    <comment ref="B22" authorId="0">
      <text>
        <r>
          <rPr>
            <b/>
            <sz val="8"/>
            <color indexed="81"/>
            <rFont val="Tahoma"/>
            <family val="2"/>
          </rPr>
          <t xml:space="preserve"> Annie:</t>
        </r>
        <r>
          <rPr>
            <sz val="8"/>
            <color indexed="81"/>
            <rFont val="Tahoma"/>
            <family val="2"/>
          </rPr>
          <t xml:space="preserve">
Vets data excl Disability Awards.  </t>
        </r>
      </text>
    </comment>
  </commentList>
</comments>
</file>

<file path=xl/comments3.xml><?xml version="1.0" encoding="utf-8"?>
<comments xmlns="http://schemas.openxmlformats.org/spreadsheetml/2006/main">
  <authors>
    <author xml:space="preserve"> Annie</author>
  </authors>
  <commentList>
    <comment ref="B6" authorId="0">
      <text>
        <r>
          <rPr>
            <b/>
            <sz val="8"/>
            <color indexed="81"/>
            <rFont val="Tahoma"/>
            <family val="2"/>
          </rPr>
          <t xml:space="preserve"> Annie:</t>
        </r>
        <r>
          <rPr>
            <sz val="8"/>
            <color indexed="81"/>
            <rFont val="Tahoma"/>
            <family val="2"/>
          </rPr>
          <t xml:space="preserve">
all figures revised April 2012 to nearest 1/10 %.</t>
        </r>
      </text>
    </comment>
  </commentList>
</comments>
</file>

<file path=xl/comments4.xml><?xml version="1.0" encoding="utf-8"?>
<comments xmlns="http://schemas.openxmlformats.org/spreadsheetml/2006/main">
  <authors>
    <author xml:space="preserve"> Annie</author>
  </authors>
  <commentList>
    <comment ref="B6" authorId="0">
      <text>
        <r>
          <rPr>
            <b/>
            <sz val="8"/>
            <color indexed="81"/>
            <rFont val="Tahoma"/>
            <family val="2"/>
          </rPr>
          <t xml:space="preserve"> Annie:</t>
        </r>
        <r>
          <rPr>
            <sz val="8"/>
            <color indexed="81"/>
            <rFont val="Tahoma"/>
            <family val="2"/>
          </rPr>
          <t xml:space="preserve">
Figures revised based on population estimates to nearest 1/10 %</t>
        </r>
      </text>
    </comment>
  </commentList>
</comments>
</file>

<file path=xl/comments5.xml><?xml version="1.0" encoding="utf-8"?>
<comments xmlns="http://schemas.openxmlformats.org/spreadsheetml/2006/main">
  <authors>
    <author xml:space="preserve"> Annie</author>
  </authors>
  <commentList>
    <comment ref="B6" authorId="0">
      <text>
        <r>
          <rPr>
            <b/>
            <sz val="8"/>
            <color indexed="81"/>
            <rFont val="Tahoma"/>
            <family val="2"/>
          </rPr>
          <t xml:space="preserve"> Annie:</t>
        </r>
        <r>
          <rPr>
            <sz val="8"/>
            <color indexed="81"/>
            <rFont val="Tahoma"/>
            <family val="2"/>
          </rPr>
          <t xml:space="preserve">
Revised April 2012 to nearest 1/10 %</t>
        </r>
      </text>
    </comment>
  </commentList>
</comments>
</file>

<file path=xl/sharedStrings.xml><?xml version="1.0" encoding="utf-8"?>
<sst xmlns="http://schemas.openxmlformats.org/spreadsheetml/2006/main" count="6704" uniqueCount="1057">
  <si>
    <t>Disability Tax Credit</t>
  </si>
  <si>
    <t>Medical Expense Tax Credit</t>
  </si>
  <si>
    <t>Infirm Dependant Credit</t>
  </si>
  <si>
    <t>Refundable Medical Expense Supplement</t>
  </si>
  <si>
    <t>Federal Income Supports</t>
  </si>
  <si>
    <t>CPP-D</t>
  </si>
  <si>
    <t>EI Sickness</t>
  </si>
  <si>
    <t>Worker's Compensation - p/t</t>
  </si>
  <si>
    <t xml:space="preserve">                                   - federal</t>
  </si>
  <si>
    <t xml:space="preserve">   short term</t>
  </si>
  <si>
    <t xml:space="preserve">   long term</t>
  </si>
  <si>
    <t>Disability Tax Measures</t>
  </si>
  <si>
    <t xml:space="preserve">  First Nations SA - disabled component</t>
  </si>
  <si>
    <t>Third Sector</t>
  </si>
  <si>
    <t>Caregiver Credit</t>
  </si>
  <si>
    <t>Child Disability Benefit</t>
  </si>
  <si>
    <t>($M)</t>
  </si>
  <si>
    <t xml:space="preserve">  P/T programs - disabled component</t>
  </si>
  <si>
    <t>Social Assistance - Disabled component *</t>
  </si>
  <si>
    <t>Ontario - Ontario Works</t>
  </si>
  <si>
    <t xml:space="preserve">            - ODSP</t>
  </si>
  <si>
    <t>BC - Income Support</t>
  </si>
  <si>
    <t xml:space="preserve">      - Income Support for the disabled</t>
  </si>
  <si>
    <t>TOTAL</t>
  </si>
  <si>
    <t>Sub Total</t>
  </si>
  <si>
    <t>*  Disabled component of SA was estimated using the expenditure distributions in Ontario and BC in 2004-05</t>
  </si>
  <si>
    <t>(excludes employment supports, drug costs) - straight financial benefits only</t>
  </si>
  <si>
    <t>INAC</t>
  </si>
  <si>
    <t>Nfld</t>
  </si>
  <si>
    <t>PEI</t>
  </si>
  <si>
    <t>NS</t>
  </si>
  <si>
    <t>NB</t>
  </si>
  <si>
    <t>Que</t>
  </si>
  <si>
    <t>Ont</t>
  </si>
  <si>
    <t>MB</t>
  </si>
  <si>
    <t>Alta</t>
  </si>
  <si>
    <t>BC</t>
  </si>
  <si>
    <t>Yukon</t>
  </si>
  <si>
    <t>NWT</t>
  </si>
  <si>
    <t>Nun</t>
  </si>
  <si>
    <t>Interim</t>
  </si>
  <si>
    <t xml:space="preserve">Transitional </t>
  </si>
  <si>
    <t>Extended</t>
  </si>
  <si>
    <t xml:space="preserve"> OW</t>
  </si>
  <si>
    <t>ODSP</t>
  </si>
  <si>
    <t>"employables"</t>
  </si>
  <si>
    <t>"disabled"</t>
  </si>
  <si>
    <t>IAPD</t>
  </si>
  <si>
    <t>Sask</t>
  </si>
  <si>
    <t>ETW</t>
  </si>
  <si>
    <t>Working</t>
  </si>
  <si>
    <t>NETW</t>
  </si>
  <si>
    <t>Alberta AISH</t>
  </si>
  <si>
    <t>Temp. Asst.</t>
  </si>
  <si>
    <t>IA for Disabled</t>
  </si>
  <si>
    <t>Total spending</t>
  </si>
  <si>
    <t>SA for Dis.</t>
  </si>
  <si>
    <t>Sub-Total</t>
  </si>
  <si>
    <t>2005-06</t>
  </si>
  <si>
    <t>Source</t>
  </si>
  <si>
    <t>ODI report</t>
  </si>
  <si>
    <t xml:space="preserve">2005 - Canadian Life and Health Insurance Assoc. </t>
  </si>
  <si>
    <t xml:space="preserve">INAC total </t>
  </si>
  <si>
    <t xml:space="preserve">Worker's Compensation </t>
  </si>
  <si>
    <t>Private disability insurance</t>
  </si>
  <si>
    <t>SSS</t>
  </si>
  <si>
    <t>n/a</t>
  </si>
  <si>
    <t>($000s)</t>
  </si>
  <si>
    <t>Disabilty Supports Deduction</t>
  </si>
  <si>
    <t>QPP-D</t>
  </si>
  <si>
    <t>ODI report - Compensation Benefits only (see fn 5)</t>
  </si>
  <si>
    <t>Stat Book (same as CPP-D), Table 23</t>
  </si>
  <si>
    <t>http://www.hrsdc.gc.ca/en/ei/reports/annex2_2006.pdf</t>
  </si>
  <si>
    <t>2005 data</t>
  </si>
  <si>
    <t>http://www.awcbc.org/english/board_pdfs/2005KSMs.pdf</t>
  </si>
  <si>
    <t>Rec'd by e-mail from Alice Freeburn</t>
  </si>
  <si>
    <t>note:  many SSS figures include health costs.</t>
  </si>
  <si>
    <t xml:space="preserve">http://www.fin.gov.nl.ca/ComptrollerGeneral/pubaccounts/2005/Volume_III_2004-05.pdf   See page 128 (in left column) for category Income Assistance - allowances and assistance.  </t>
  </si>
  <si>
    <t xml:space="preserve">http://www.gov.pe.ca/budget/2005/estimates.pdf   see page 104, "cash and material benefits" and "special needs".  I couldn't find actual $ anywhere - these are the 2004-05 forecast.  </t>
  </si>
  <si>
    <t xml:space="preserve">http://www.gov.ns.ca/finance/budget06/2006-2007%20supplementary%20detail.pdf   See page 4.10, Income assistance payments.  </t>
  </si>
  <si>
    <t>Special Needs</t>
  </si>
  <si>
    <t xml:space="preserve">http://www.gnb.ca/0087/pubacct/PA05v2.pdf   see page 150 (in left column).  I picked up on the 3 first items plus special needs spending. </t>
  </si>
  <si>
    <t xml:space="preserve">Taken from 2004-05 Public Accounts, Vol II , page 2 -87 Employment Assistance transfers.   http://www.finances.gouv.qc.ca/documents/Comptespublics/en/vol2-2004-2005.pdf  </t>
  </si>
  <si>
    <t>Manitoba Family Services and Housing Annual Report 2004-05   http://www.gov.mb.ca/fs/about/annual_reports.html#0405   See sections 4 and 5</t>
  </si>
  <si>
    <t>http://finance.gov.sk.ca/paccts/paccts05/2004-05Volume2.pdf  Public Accounts Volume II, page 44 - 'SAP transfers"</t>
  </si>
  <si>
    <t>Public Accounts 2004-05 - Consolidated Revenue Fund Supplementary Estimates   http://www.fin.gov.bc.ca/ocg/pa/04_05/SectionC.pdf  See Ministry of Human Resources section, Temporary Assistance and Disability Assistance - "transfer payments"  Am not sure what "Supplementary Assistance" is - did not include it.</t>
  </si>
  <si>
    <t xml:space="preserve">Yukon 2006-07 Operation and Maintenance Estimates   http://www.finance.gov.yk.ca/publications/budgets/budget06-07/2006-07om_15.pdf   Health and Social Services Section  page 11-47 for SA for both Whitehorse and regions. </t>
  </si>
  <si>
    <t>SSS preliminary figures - unpublished</t>
  </si>
  <si>
    <t xml:space="preserve"> http://www.finance.alberta.ca/publications/budget/estimates/est2006/human.pdf    Main Estimates 2006-07  See page 4 (left column)Income support amounts only.  </t>
  </si>
  <si>
    <t>http://www.finance.alberta.ca/publications/budget/estimates/est2006/seniors.pdf   See page 5 (left column0  AISH, income support only</t>
  </si>
  <si>
    <t>2004-05</t>
  </si>
  <si>
    <t>ESTIMATED EXPENDITURE ON SA DISABILITY BENEFITS</t>
  </si>
  <si>
    <t>URL</t>
  </si>
  <si>
    <t>`</t>
  </si>
  <si>
    <t>CPP-D &amp; QPP-D</t>
  </si>
  <si>
    <t>2006 tax yr.est.</t>
  </si>
  <si>
    <t>2005 Assoc. of WComp Boards of Canada - 2005 Key Stat. Measures, line 5.1</t>
  </si>
  <si>
    <t>unpubl</t>
  </si>
  <si>
    <t>Unpublished</t>
  </si>
  <si>
    <t>Veterans' Benefits</t>
  </si>
  <si>
    <t>Veterans' Disability Pension Programs</t>
  </si>
  <si>
    <t>Veterans' Disability Pensions</t>
  </si>
  <si>
    <t>http://www.hrsdc.gc.ca/en/hip/odi/documents/advancingInclusion06/advancinginclusion.pdf</t>
  </si>
  <si>
    <t>(Note:  HTML version of report does not contain the Veterans' Disability Pension info)</t>
  </si>
  <si>
    <t>2008-09</t>
  </si>
  <si>
    <t>2008 tax yr.est.</t>
  </si>
  <si>
    <t>http://www.hrsdc.gc.ca/eng/disability_issues/reports/fdr/2009/fdr_2009.pdf</t>
  </si>
  <si>
    <t>CPP &amp; OAS Stats Book, 2009, Table 8, net expenditures</t>
  </si>
  <si>
    <t>http://www.servicecanada.gc.ca/eng/isp/statistics/pdf/statbook.pdf</t>
  </si>
  <si>
    <t xml:space="preserve">2008 - Canadian Life and Health Insurance Assoc. </t>
  </si>
  <si>
    <t>Rec'd by e-mail from H-P Therien, HRSDC</t>
  </si>
  <si>
    <t xml:space="preserve">   Interim</t>
  </si>
  <si>
    <t xml:space="preserve">   Transitional </t>
  </si>
  <si>
    <t xml:space="preserve">   Extended</t>
  </si>
  <si>
    <t xml:space="preserve">   Special Needs</t>
  </si>
  <si>
    <t xml:space="preserve">   OW</t>
  </si>
  <si>
    <t xml:space="preserve">   ODSP</t>
  </si>
  <si>
    <t xml:space="preserve">   IAPD</t>
  </si>
  <si>
    <t xml:space="preserve">   NETW</t>
  </si>
  <si>
    <t xml:space="preserve">   Widow's Pension</t>
  </si>
  <si>
    <t xml:space="preserve">   Temp. Asst.</t>
  </si>
  <si>
    <t xml:space="preserve">   IA for Disabled</t>
  </si>
  <si>
    <t xml:space="preserve">  SAP</t>
  </si>
  <si>
    <t xml:space="preserve">  Transitional Employment Allowance</t>
  </si>
  <si>
    <t xml:space="preserve">   ETW or working</t>
  </si>
  <si>
    <t xml:space="preserve">   Learners</t>
  </si>
  <si>
    <t xml:space="preserve">Report on Program Expenditures &amp; Revenue of CRF, 2008-09 - see page 129, category Income Assistance - allowances and assistance.  </t>
  </si>
  <si>
    <t>http://www.gov.ns.ca/finance/site-finance/media/finance/budget2009/EstimatesSuppDetail_Fall09.pdf</t>
  </si>
  <si>
    <t>Public Accounts 2008-09, vol II.  See page 173</t>
  </si>
  <si>
    <t>http://www.gnb.ca/0087/pubacct/PA09v2.pdf</t>
  </si>
  <si>
    <t xml:space="preserve">2008-09 Public Accounts, Vol II, page 2-103 Assistance to Individuals and Families- transfers. </t>
  </si>
  <si>
    <t>http://www.finances.gouv.qc.ca/documents/Comptespublics/en/CPTEN_vol2-2008-2009.pdf</t>
  </si>
  <si>
    <t>http://www.fin.gov.on.ca/en/budget/paccts/2009/09vol1eng.pdf</t>
  </si>
  <si>
    <t xml:space="preserve">   Employment and Income Assistance</t>
  </si>
  <si>
    <t>Disabled expenditures are $146.3M</t>
  </si>
  <si>
    <t>Manitoba Family Services and Housing Annual Report 2008-09.    See pages 72-74</t>
  </si>
  <si>
    <t>http://www.gov.mb.ca/fs/about/annual_reports/2008-09/FSH_Annual_Report_08_09_en.pdf</t>
  </si>
  <si>
    <t>Public Accounts, 2008-09  Volume II, page 28 - 'SAP" and "TEA" transfers</t>
  </si>
  <si>
    <t>http://www.finance.alberta.ca/publications/budget/estimates/est2010/employment-immigration.pdf</t>
  </si>
  <si>
    <t>http://www.tbs-sct.gc.ca/rpp/2009-2010/inst/ian/st-ts01-eng.asp</t>
  </si>
  <si>
    <t>Main Estimates 2009-10, Seniors and Community Supports section.  See page 321, AISH, financial assistance only</t>
  </si>
  <si>
    <t>http://www.finance.alberta.ca/publications/budget/estimates/est2010/seniors-community-supports.pdf</t>
  </si>
  <si>
    <t>SOCIAL ASSISTANCE EXPENDITURES BY PROGRAM IN CANADA, 2008-09</t>
  </si>
  <si>
    <t>Rec'd via e-mail from H-P Therien</t>
  </si>
  <si>
    <t>Man - SA for disabled</t>
  </si>
  <si>
    <t xml:space="preserve">         - IAPD</t>
  </si>
  <si>
    <t xml:space="preserve">         - total</t>
  </si>
  <si>
    <t>Quebec - Aide sociale</t>
  </si>
  <si>
    <t xml:space="preserve">            - solidarite sociale</t>
  </si>
  <si>
    <t>Above figure is estimated annual distribution of expenditures using March 2009 split</t>
  </si>
  <si>
    <t>Man</t>
  </si>
  <si>
    <t>4 provinces - est. disabled $</t>
  </si>
  <si>
    <t>4 provinces - total expenditures</t>
  </si>
  <si>
    <t>estimated % of disability expenditures</t>
  </si>
  <si>
    <t>*  Disabled component of SA was estimated using the expenditure distributions in Quebec, Ontario, Manitoba and BC in 2008-09</t>
  </si>
  <si>
    <t>Used March 2009 split and applied it against total fiscal year spending</t>
  </si>
  <si>
    <t>CPP &amp; OAS Stats Book, 2009, Table 23, net expenditures</t>
  </si>
  <si>
    <t>http://www.fin.gov.nl.ca/fin/publications/finpublicationsreportoncrf_08_09.pdf</t>
  </si>
  <si>
    <t>http://www.gov.pe.ca/photos/original/pa_vol2_2009.pdf</t>
  </si>
  <si>
    <t xml:space="preserve">PEI Public Accounts, Vol II, 2008-09.  See page 149 "cash and material benefits" and "special needs".  </t>
  </si>
  <si>
    <t xml:space="preserve">Main Estimates 2010-11, Employment &amp; Immigration section.  See page 144 Income support section only, actuals 2008-09.  </t>
  </si>
  <si>
    <t>http://www.fin.gov.bc.ca/OCG/pa/08_09/CRF_Supplementary_Sched.pdf</t>
  </si>
  <si>
    <t>Public Accounts 2008-09 - Consolidated Revenue Fund Supplementary Schedules.  See Ministry of Housing and Social Development section, Temporary Assistance and Disability Assistance - "transfer payments"  p 74-75</t>
  </si>
  <si>
    <t>SA - Disabled spending</t>
  </si>
  <si>
    <t>2008-09 provincial reports - Main Est., Public Accounts</t>
  </si>
  <si>
    <t>http://www.awcbc.org/common/assets/ksms/2008ksms.pdf</t>
  </si>
  <si>
    <t xml:space="preserve">2008 Assoc. of WComp Boards of Canada - 2008 Key Stat. Measures, </t>
  </si>
  <si>
    <t xml:space="preserve">line 5.1 minus 5.11  </t>
  </si>
  <si>
    <t>ODI report - includes Disability Awards Program</t>
  </si>
  <si>
    <t xml:space="preserve">2009 ODI report </t>
  </si>
  <si>
    <t>% change</t>
  </si>
  <si>
    <t>CANADA</t>
  </si>
  <si>
    <t>ONTARIO</t>
  </si>
  <si>
    <t>Ontario estimated at 39% of Canada total</t>
  </si>
  <si>
    <t>ISP Statistical Bulletin, June 2009, Table 2</t>
  </si>
  <si>
    <t>http://www.servicecanada.gc.ca/eng/isp/statistics/monthly.shtml</t>
  </si>
  <si>
    <t>Unpublished SSS data</t>
  </si>
  <si>
    <t>Ontario figures estimated at 39% of Canada total</t>
  </si>
  <si>
    <t>see SA by province 08-09 sheet</t>
  </si>
  <si>
    <t>CPP Disability</t>
  </si>
  <si>
    <t>Private Disability Insurance</t>
  </si>
  <si>
    <t>2009-10</t>
  </si>
  <si>
    <t xml:space="preserve">Report on Program Expenditures &amp; Revenue of CRF, 2009-10 - see page 138, category Income Assistance - allowances and assistance.  </t>
  </si>
  <si>
    <t>http://www.fin.gov.nl.ca/fin/publications/1461_10_CRF_Report_10.pdf</t>
  </si>
  <si>
    <t>NS Estimates, Supplementary Detail, 2010-11  See page 4.10 Income Assistance payments, forecast amount</t>
  </si>
  <si>
    <t>http://www.gov.ns.ca/finance/site-finance/media/finance/budget2010/estimatesandsupdetail2010-11.pdf</t>
  </si>
  <si>
    <t>Public Accounts year ended March 2010, vol II.  See page 178</t>
  </si>
  <si>
    <t>http://www.gnb.ca/0087/pubacct/PA10v2.pdf</t>
  </si>
  <si>
    <t>http://www.finances.gouv.qc.ca/documents/Comptespublics/en/CPTEN_vol2-2009-2010.pdf</t>
  </si>
  <si>
    <t>SEE NOTE AT BOTTOM</t>
  </si>
  <si>
    <t>http://www.fin.gov.on.ca/en/budget/paccts/2010/10vol1eng.pdf</t>
  </si>
  <si>
    <t>http://www.gov.mb.ca/fs/about/annual_reports/2009-10/fsca_annual_report_09_10.pdf</t>
  </si>
  <si>
    <t>Public Accounts, 2009-10  Volume II, page 29 - 'SAP" and "TEA" transfers</t>
  </si>
  <si>
    <t>http://www.finance.gov.sk.ca/paccts/paccts10/compendium/reports/200910Volume2.pdf</t>
  </si>
  <si>
    <t>Public Accounts 2009-10 - Consolidated Revenue Fund Supplementary Schedules.  See Ministry of Housing and Social Development section, Temporary Assistance and Disability Assistance - "transfer payments"  p 65</t>
  </si>
  <si>
    <t>http://www.fin.gov.bc.ca/OCG/pa/09_10/CRF_Supplementary_Sched.pdf</t>
  </si>
  <si>
    <t xml:space="preserve">Yukon 2011-12 Operation and Maintenance Estimates, Health and Social Services Section  page 12-47 - see SA for both Whitehorse and regions. </t>
  </si>
  <si>
    <t>http://www.finance.gov.yk.ca/pdf/budget/2011-12om_15.pdf</t>
  </si>
  <si>
    <t>SSS data for 2009-10 (unpublished)</t>
  </si>
  <si>
    <t xml:space="preserve">ONTARIO NOTE </t>
  </si>
  <si>
    <t xml:space="preserve">As of January 2010 the province paid 80.6% of OW and 90% of ODSP financial benefits.  See http://www.mcss.gov.on.ca/documents/en/mcss/social/directives/ow/1103.pdf </t>
  </si>
  <si>
    <t>"</t>
  </si>
  <si>
    <t>http://www.hrsdc.gc.ca/eng/disability_issues/reports/fdr/2010/fdr_2010.pdf</t>
  </si>
  <si>
    <t>Federal Disability Report, 2010, HRSDC</t>
  </si>
  <si>
    <t>CPP &amp; OAS Stats Book, 2010, Table 8, net expenditures</t>
  </si>
  <si>
    <t>http://www.awcbc.org/en/statistics.asp</t>
  </si>
  <si>
    <t>go to "General Public Access Statistics link</t>
  </si>
  <si>
    <t xml:space="preserve">2009 - Canadian Life and Health Insurance Assoc. </t>
  </si>
  <si>
    <t>ESTIMATED EXPENDITURE ON SA DISABILITY BENEFITS - 2010</t>
  </si>
  <si>
    <t xml:space="preserve">http://www.gov.mb.ca/fs/about/annual_reports/2009-10/fsca_annual_report_09_10.pdf   </t>
  </si>
  <si>
    <t xml:space="preserve">         - total SA</t>
  </si>
  <si>
    <t>Used March 2010 split and applied it against total fiscal year spending</t>
  </si>
  <si>
    <t>2009 tax yr.est.</t>
  </si>
  <si>
    <t>see SA by province 09-10 sheet</t>
  </si>
  <si>
    <t>2009-10 Public Accounts of Ontario</t>
  </si>
  <si>
    <t xml:space="preserve"> Assoc. of WComp Boards of Canada - 2009 Key Stat. Measures, </t>
  </si>
  <si>
    <t>Ontario</t>
  </si>
  <si>
    <t>est.</t>
  </si>
  <si>
    <t>Provincial breakdown not available.</t>
  </si>
  <si>
    <t>Ont data:  CPP &amp; OAS Stat Bulletin, Dec. 2006, Table 2, net expenditures</t>
  </si>
  <si>
    <t>http://www.rhdsc.gc.ca/en/isp/statistics/pdf/statbulletin1206.pdf</t>
  </si>
  <si>
    <t xml:space="preserve">Sub Total - </t>
  </si>
  <si>
    <t xml:space="preserve">Social Assistance - Disabled component* </t>
  </si>
  <si>
    <t>http://www.fin.gov.on.ca/english/budget/paccts/2006/06vol1eng.pdf  - page 2-92</t>
  </si>
  <si>
    <t>Ontario figure is the combined STD and LTD total</t>
  </si>
  <si>
    <t xml:space="preserve">  In Ontario, an additional $51.3 million for ODSP employment supports and $675.4 million for total OW/ODSP drug benefits.</t>
  </si>
  <si>
    <t>WCOMP FIGURE REVISED TO EXCLUDE HEALTH AND REHAB COSTS - JULY 2011</t>
  </si>
  <si>
    <t>2005-06 provincial and territorial reports - Main Est., Public Accounts</t>
  </si>
  <si>
    <t>2005-06 - from SSS unpublished data</t>
  </si>
  <si>
    <t>FIGURES REVISED TO 2005-06.  ORIGINAL ENTRIES WERE FOR 2004-05.  JULY 2011</t>
  </si>
  <si>
    <t>2005 Assoc. of WComp Boards of Canada - 2005 Key Stat. Measures, line 5.1 minus line 5.11</t>
  </si>
  <si>
    <t>FIGURE REVISED TO EXCLUDE HEALTH AND REHAB COSTS (WAS $2.7B).  JULY 2011</t>
  </si>
  <si>
    <t>TOTAL REVISED DUE TO REVISED WCOMP FIGURE</t>
  </si>
  <si>
    <t>SA for the Disabled</t>
  </si>
  <si>
    <t>Total income support for the disabled</t>
  </si>
  <si>
    <t>Total income support for the disabled excluding SA</t>
  </si>
  <si>
    <t>Social Assistance for the Disabled</t>
  </si>
  <si>
    <t>r</t>
  </si>
  <si>
    <t>NOTES</t>
  </si>
  <si>
    <t>2005-06, 2007-08 &amp; 2009-10</t>
  </si>
  <si>
    <t>since 05-06</t>
  </si>
  <si>
    <t>change</t>
  </si>
  <si>
    <t>%</t>
  </si>
  <si>
    <t xml:space="preserve">   Short term</t>
  </si>
  <si>
    <t xml:space="preserve">   Long term</t>
  </si>
  <si>
    <t xml:space="preserve">       CANADA:  INCOME SUPPORT PROGRAMS AND TAX MEASURES FOR THE DISABLED</t>
  </si>
  <si>
    <t xml:space="preserve">Report on Program Expenditures &amp; Revenue of CRF, 2005-06 - see page 120, category Income Assistance - allowances and assistance.  </t>
  </si>
  <si>
    <t xml:space="preserve">PEI Estimates 2005-06.  See page 109 "cash and material benefits" and "special needs".  I couldn't find actual $ anywhere - these are the 2005-06 forecast.  </t>
  </si>
  <si>
    <t>http://www.gov.pe.ca/budget/2006/estimates.pdf</t>
  </si>
  <si>
    <t>NS Estimates, Supplementary Detail, 2007-08  See page 4.10 Income Assistance payments, 2005-06 actual</t>
  </si>
  <si>
    <t>Public Accounts 2005-06, vol II.  See page 148</t>
  </si>
  <si>
    <t>http://www.gnb.ca/0087/PubAcct/PA06v2.pdf</t>
  </si>
  <si>
    <t xml:space="preserve">2005-06 Public Accounts, Vol II, page 2-111 Employment Assistance transfers. </t>
  </si>
  <si>
    <t>http://www.finances.gouv.qc.ca/documents/Comptespublics/en/vol2-2005-2006.pdf</t>
  </si>
  <si>
    <t>http://www.fin.gov.on.ca/english/budget/paccts/2006/06vol1eng.pdf</t>
  </si>
  <si>
    <t xml:space="preserve">   "employables"</t>
  </si>
  <si>
    <t xml:space="preserve">   "disabled"</t>
  </si>
  <si>
    <t>Manitoba Family Services and Housing Annual Report 2005-06     See pages 40 and 62</t>
  </si>
  <si>
    <t xml:space="preserve">http://www.gov.mb.ca/fs/about/annual_reports/2005-06/annual_2005-06.pdf </t>
  </si>
  <si>
    <t>Public Accounts Volume II, page 46 - 'SAP" and "TEA" transfers</t>
  </si>
  <si>
    <t>http://finance.gov.sk.ca/paccts/paccts06/volume2-2005-06.pdf</t>
  </si>
  <si>
    <t xml:space="preserve">Main Estimates 2006-07, Employment Immigration and Industry section.  See page 112 Income support section only.  </t>
  </si>
  <si>
    <t xml:space="preserve">Public Accounts 2005-06 - Consolidated Revenue Fund Supplementary Estimates.  See Ministry of Employment and Income Assistance section, Temporary Assistance and Disability Assistance - "transfer payments" </t>
  </si>
  <si>
    <t>http://www.fin.gov.bc.ca/ocg/pa/05_06/Section_C.pdf</t>
  </si>
  <si>
    <t>http://www.finance.gov.yk.ca/publications/budgets/budget07-08/2007-08om_15.pdf</t>
  </si>
  <si>
    <t>Main Estimates 2006-07, Seniors and Community Supports section.  See page 281, AISH, financial assistance only</t>
  </si>
  <si>
    <t>http://www.finance.gov.ab.ca/publications/budget/estimates/est2007/seniors.pdf</t>
  </si>
  <si>
    <t>http://www.fin.gov.nl.ca/ComptrollerGeneral/pdf/CashStatements_march2006.pdf</t>
  </si>
  <si>
    <t>Expenditure distribution for 2005-06</t>
  </si>
  <si>
    <t xml:space="preserve">*  Disabled component of SA was estimated using the expenditure distributions in Ontario and BC </t>
  </si>
  <si>
    <t>revised July 2011 to include INAC</t>
  </si>
  <si>
    <t xml:space="preserve">       ONTARIO:  INCOME SUPPORT PROGRAMS AND TAX MEASURES FOR THE DISABLED</t>
  </si>
  <si>
    <t>SSS unpublished data, Table 141, July 2011</t>
  </si>
  <si>
    <t>Disability Supports Deduction</t>
  </si>
  <si>
    <t>added July 2011 based on Latest INAC data for SSS (Table 141)</t>
  </si>
  <si>
    <t xml:space="preserve">Cost sharing between province and municipalities is changing.  By 2018 the province will cover all OW.  By 2011 the province will cover all ODSP costs.   </t>
  </si>
  <si>
    <t>revised July 2011 based on updated SSS data (Table 141) received by HP Therien</t>
  </si>
  <si>
    <t>SA figures revised.</t>
  </si>
  <si>
    <t>Worker's Compensation figures revised to exclude health and vocational rehabilitation costs (revised from $6.4 B to $4.7B).</t>
  </si>
  <si>
    <t xml:space="preserve">Total expenditures revised based on above revisions.  </t>
  </si>
  <si>
    <t>SA figures revised due to updated SA expenditures for First Nations on reserves.</t>
  </si>
  <si>
    <t>Worker's Compensation figures revised to exclude health and vocational rehabilitation costs (revised from $2.7 B to $2 B).</t>
  </si>
  <si>
    <t xml:space="preserve">Total expenditures revised based on above revision.  </t>
  </si>
  <si>
    <t>SA figures revised.  Provincial data on SA expenditures for First Nations on reserves received.</t>
  </si>
  <si>
    <t>Federal</t>
  </si>
  <si>
    <t>Provincial</t>
  </si>
  <si>
    <t xml:space="preserve"> - gov't</t>
  </si>
  <si>
    <t xml:space="preserve"> - third sector</t>
  </si>
  <si>
    <t>figures revised January 26, 2012 (AT)</t>
  </si>
  <si>
    <t>http://www.gov.pe.ca/photos/original/pa_vol2_2010.pdf</t>
  </si>
  <si>
    <t>PEI Plublic Accounts 09-10, see Dept. of Community Services and Seniors, Social Programs page 152, See "cash and material benefits" and "special needs"</t>
  </si>
  <si>
    <t>http://www.finance.alberta.ca/publications/budget/estimates/est2011/employment-immigration.pdf</t>
  </si>
  <si>
    <t>Main Estimates 2011-12, Seniors and Community Supports section.  See page 258, AISH, financial assistance only, 09-10 actual</t>
  </si>
  <si>
    <t xml:space="preserve"> figures and calculations checked January 2012 (AT)</t>
  </si>
  <si>
    <t>all figures and calculations checked January 2012 (AT)</t>
  </si>
  <si>
    <t>includes disability pensions and awards</t>
  </si>
  <si>
    <t xml:space="preserve">SA figures revised </t>
  </si>
  <si>
    <t>see E&amp;I Asst Expenditures by Category - "disabled" component page 68</t>
  </si>
  <si>
    <t>Based on March 2010 monthly statistical report - see Tableau 1</t>
  </si>
  <si>
    <t>http://www.bdso.gouv.qc.ca/docs-ken/multimedia/PB00902FR_pub_ass_emploi2010m03F00.pdf</t>
  </si>
  <si>
    <t>Above figure is used to estimate annual distribution of expenditures</t>
  </si>
  <si>
    <t>2008 data</t>
  </si>
  <si>
    <t>See SA 08-09 sheet</t>
  </si>
  <si>
    <t>See SA 09-10 sheet</t>
  </si>
  <si>
    <t>No longer a/v online,  rec'd from HRSDC</t>
  </si>
  <si>
    <t>revised Jan 2012 - SSS table 438, unpublished</t>
  </si>
  <si>
    <t>http://www.gov.ns.ca/finance/site-finance/media/finance/2007_suppestimates.pdf</t>
  </si>
  <si>
    <t>http://www.finance.alberta.ca/publications/budget/estimates/est2007/employment.pdf</t>
  </si>
  <si>
    <t xml:space="preserve">Yukon 2007-08 Operation and Maintenance Estimates, Health and Social Services Section  page 47 for SA for both Whitehorse and regions. </t>
  </si>
  <si>
    <t>Figures and calculations checked January 2012 (AT)</t>
  </si>
  <si>
    <t>http://www.finance.gov.sk.ca/paccts/paccts09/200809Volume2.pdf</t>
  </si>
  <si>
    <t>http://www.finance.gov.yk.ca/pdf/budget/2009-10om_15.pdf</t>
  </si>
  <si>
    <t xml:space="preserve">Yukon 2009-10 Operation and Maintenance Estimates, Health and Social Services Section  page 11-42 for SA for both Whitehorse and regions. </t>
  </si>
  <si>
    <t>page 73, Manitoba Family Services and Housing Annual Report 2008-09</t>
  </si>
  <si>
    <t>http://www.bdso.gouv.qc.ca/docs-ken/multimedia/PB00902FR_pub_ass_emploi2009m03F00.pdf</t>
  </si>
  <si>
    <t>Based on March 2009 monthly statistical report, see Tableau 1</t>
  </si>
  <si>
    <t>Monitoring &amp; Assessment report, 2005-06 net expenditures</t>
  </si>
  <si>
    <t>See SA 2005-06 sheet - ODSP amount (from Ontario PA)</t>
  </si>
  <si>
    <t>figures and calculations checked January 2012 (AT)</t>
  </si>
  <si>
    <t>All figures and calculations checked January 2012 (AT)</t>
  </si>
  <si>
    <t>Manitoba</t>
  </si>
  <si>
    <t>Man data:  CPP &amp; OAS Stat Bulletin, Dec. 2006, Table 2, net expenditures</t>
  </si>
  <si>
    <t>-</t>
  </si>
  <si>
    <t>Manitoba estimated at 4.9% of total benefit based on SSS data</t>
  </si>
  <si>
    <t>http://www.awcbc.org/common/assets/ksms/2005ksms.pdf</t>
  </si>
  <si>
    <t>OAS stat bulletin July 2011,unpublished</t>
  </si>
  <si>
    <t xml:space="preserve">Provincial SA for Disabled </t>
  </si>
  <si>
    <t xml:space="preserve">First Nations SA for Disabled </t>
  </si>
  <si>
    <t>BC data:  CPP &amp; OAS Stat Bulletin, Dec. 2006, Table 2, net expenditures</t>
  </si>
  <si>
    <t xml:space="preserve">Provincial breakdown not a/v online.   </t>
  </si>
  <si>
    <t>Public Accounts 2005-06 - Consolidated Revenue Fund Supplementary.</t>
  </si>
  <si>
    <t xml:space="preserve">Estimates.  See Ministry of Employment and Income Assistance section, </t>
  </si>
  <si>
    <t xml:space="preserve">Disability Assistance - "transfer payments" </t>
  </si>
  <si>
    <t xml:space="preserve">Provincial breakdown not a/v online.  Est using SSS Table 154 distribution (unpublished)  </t>
  </si>
  <si>
    <t>Social Assistance - Disabled component</t>
  </si>
  <si>
    <t xml:space="preserve">  Income Assistance for the Disabled</t>
  </si>
  <si>
    <t>2005 Assoc. of WComp Boards of Canada - 2005 Key Stat. Measures, line 5.1 minus 5.11</t>
  </si>
  <si>
    <t>line 5.1 minus 5.11</t>
  </si>
  <si>
    <t xml:space="preserve">  Employment and Income Asst.</t>
  </si>
  <si>
    <t>SSS Table 141, unpublished</t>
  </si>
  <si>
    <t>2005 tax yr.est.</t>
  </si>
  <si>
    <t>ODI report Advancing the Inclusion of Persons with Disabilities</t>
  </si>
  <si>
    <t>http://www.hrsdc.gc.ca/eng/disability_issues/reports/fdr/2006/advancinginclusion.pdf</t>
  </si>
  <si>
    <t>http://www.hrsdc.gc.ca/eng/disability_issues/reports/fdr/2009/page11.shtml</t>
  </si>
  <si>
    <t>http://www.fin.gc.ca/taxexp-depfisc/2011/taxexp1101-eng.asp#toc6</t>
  </si>
  <si>
    <t>Finance Canada Tax Expenditures 2011</t>
  </si>
  <si>
    <t>Some tax expenditures revised</t>
  </si>
  <si>
    <t>Updated for all years based on most recent Finance Tax Expenditure data</t>
  </si>
  <si>
    <t>See individual worksheets for revisions made</t>
  </si>
  <si>
    <t xml:space="preserve">EXCLUDE HEALTH AND VOC REHAB COSTS </t>
  </si>
  <si>
    <t>Quebec Social Solidarity</t>
  </si>
  <si>
    <t>Ontario ODSP</t>
  </si>
  <si>
    <t>BC Asst. for Disabled</t>
  </si>
  <si>
    <t>% Change</t>
  </si>
  <si>
    <t xml:space="preserve">Finance Canada Tax Expenditures 2011 </t>
  </si>
  <si>
    <t>Federal Disability Report 2010 (ODI)</t>
  </si>
  <si>
    <t>Advancing the Inclusion of Persons with Disabilities, 2009 (ODI report)</t>
  </si>
  <si>
    <t>Manitoba Family Services and Housing Annual Report 2005-06.  See SA 05-06 sheet - total of "disabled" and "IAPD"</t>
  </si>
  <si>
    <t>SA for disabled + IAPD - see SA 09-10 sheet</t>
  </si>
  <si>
    <t>Income Asst. for the Disabled</t>
  </si>
  <si>
    <t>see SA 09-10 sheet</t>
  </si>
  <si>
    <t>Assoc. of WComp Boards of Canada - Key Stat. Measures, 2009</t>
  </si>
  <si>
    <t>Data for Manitoba estimated based estimated population distribution (3.6%).</t>
  </si>
  <si>
    <t xml:space="preserve">Social Assistance - Disabled component </t>
  </si>
  <si>
    <t>Checked January 2012 (AT)</t>
  </si>
  <si>
    <t>ISP Statistical Bulletin, June 2011, Table 2</t>
  </si>
  <si>
    <t>Rec'd by e-mail from E. Wills, HRSDC</t>
  </si>
  <si>
    <t xml:space="preserve">ODI - Disability report </t>
  </si>
  <si>
    <t>Estimated tax expenditures revised for all years</t>
  </si>
  <si>
    <t xml:space="preserve">Workers' Compensation </t>
  </si>
  <si>
    <t>Data for BC estimated based on population distribution (13.2%).</t>
  </si>
  <si>
    <t>CPP &amp; OAS Stats Book, 2010, Table 23, net expenditures</t>
  </si>
  <si>
    <t xml:space="preserve">  ODSP</t>
  </si>
  <si>
    <t>Total Income Support for the Disabled</t>
  </si>
  <si>
    <t>% change - input to bar chart</t>
  </si>
  <si>
    <t>First Nations SA for Disabled</t>
  </si>
  <si>
    <t>% OF TOTAL</t>
  </si>
  <si>
    <t>Manitoba EIA for Disabled</t>
  </si>
  <si>
    <t xml:space="preserve">Revised Feb. 2012 to reflect actual claims paid to individuals.  </t>
  </si>
  <si>
    <t>Private Disability Insurance expenditures revised for all years to reflect actual claims paid.</t>
  </si>
  <si>
    <t>Total income support for the disabled excluding ODSP</t>
  </si>
  <si>
    <t>Manitoba Input to charts</t>
  </si>
  <si>
    <t>BC Input to charts</t>
  </si>
  <si>
    <t>Total Income Support for the Disabled excl. SA</t>
  </si>
  <si>
    <t>Figures checked February 2012 (AT)</t>
  </si>
  <si>
    <t>Total Income Support for the Disabled excl. IAD</t>
  </si>
  <si>
    <t>Private Disability Insurance revised for all years to reflect actual claims paid.</t>
  </si>
  <si>
    <t>r - revised January/February 2012</t>
  </si>
  <si>
    <t>New Brunswick EBP</t>
  </si>
  <si>
    <t xml:space="preserve">          % of total</t>
  </si>
  <si>
    <t>2009-10 by province, % distribution of benefits</t>
  </si>
  <si>
    <t>2005-06 by province, % distribution of benefits</t>
  </si>
  <si>
    <t>ALTA</t>
  </si>
  <si>
    <t>Data for AB estimated based on population distribution (10.3%).</t>
  </si>
  <si>
    <t>EI Monitoring and Assessment Report 2010, Annex 2 Sickness Benefits</t>
  </si>
  <si>
    <t>http://www.hrsdc.gc.ca/eng/employment/ei/reports/eimar_2010/annex/annex2_11.shtml</t>
  </si>
  <si>
    <t>March 7, 2012 - EI figures updated, source consistent over time series</t>
  </si>
  <si>
    <t xml:space="preserve">Main Estimates 2011-12, Employment &amp; Immigration section.  See page 118 Income support </t>
  </si>
  <si>
    <t xml:space="preserve">   Barriers to Full Emplmt.</t>
  </si>
  <si>
    <t>AB data:  CPP &amp; OAS Stat Bulletin, Dec. 2006, Table 2, net expenditures</t>
  </si>
  <si>
    <t>See SA sheet</t>
  </si>
  <si>
    <t>AISH</t>
  </si>
  <si>
    <t>Data for AB estimated based on population distribution (10.9%).</t>
  </si>
  <si>
    <t>see SA 09-10 sheet - represents the Not Expected to Work component of Income Support</t>
  </si>
  <si>
    <t>Figures checked March 7, 2012 (AT)</t>
  </si>
  <si>
    <t>Quebec data estimated at 44% of total spending based.  New program implemented in January 2007</t>
  </si>
  <si>
    <t>% change 05-06 to 09-10</t>
  </si>
  <si>
    <t>All programs</t>
  </si>
  <si>
    <t>EI benefits revised.</t>
  </si>
  <si>
    <t>March 2012 - EI data revised</t>
  </si>
  <si>
    <t>http://www.finance.alberta.ca/publications/budget/estimates/est2011/seniors-community-supports.pdf</t>
  </si>
  <si>
    <t>Alberta</t>
  </si>
  <si>
    <t>Alberta - AISH</t>
  </si>
  <si>
    <t>Income Asst. - NETW/BFE</t>
  </si>
  <si>
    <t>Alberta Income Support - NETW/BFE</t>
  </si>
  <si>
    <t>NF</t>
  </si>
  <si>
    <t>QUE</t>
  </si>
  <si>
    <t>SASK</t>
  </si>
  <si>
    <t xml:space="preserve"> </t>
  </si>
  <si>
    <t>NFLD</t>
  </si>
  <si>
    <t>Est using SSS Table 154 distribution (unpublished)  9.7%</t>
  </si>
  <si>
    <t>a</t>
  </si>
  <si>
    <t>r - revised April 2012</t>
  </si>
  <si>
    <t>NF estimated at 1.8% of total benefit based on SSS data</t>
  </si>
  <si>
    <t>PEI estimated at 1.1% of total benefit based on SSS data</t>
  </si>
  <si>
    <t>NS estimated at 7.1% of total benefit based on SSS data</t>
  </si>
  <si>
    <t>NB estimated at 5.5% of total benefit based on SSS data</t>
  </si>
  <si>
    <t>QUE estimated at 12.3% of total benefit based on SSS data</t>
  </si>
  <si>
    <t>SK estimated at 3.6% of total benefit based on SSS data</t>
  </si>
  <si>
    <t xml:space="preserve">reflect actual claims paid to individuals.  </t>
  </si>
  <si>
    <t xml:space="preserve"> reflect actual claims paid to individuals.  </t>
  </si>
  <si>
    <t>Data for NF estimated based on population distribution (1.5%).</t>
  </si>
  <si>
    <t>SASK Input to charts</t>
  </si>
  <si>
    <t>NB Input to charts</t>
  </si>
  <si>
    <t>NS Input to charts</t>
  </si>
  <si>
    <t>PEI Input to charts</t>
  </si>
  <si>
    <t>NFLD Input to charts</t>
  </si>
  <si>
    <t>e</t>
  </si>
  <si>
    <t>CPP &amp; OAS Stat Bulletin, Dec. 2006, Table 2, net expenditures</t>
  </si>
  <si>
    <t xml:space="preserve">Report on Program Expenditures &amp; Revenue of CRF, 2005-06 - see page 120, </t>
  </si>
  <si>
    <t xml:space="preserve">Report on Program Expenditures &amp; Revenue of CRF, 2009-10 - see page 138,   </t>
  </si>
  <si>
    <t>Figures checked April 2012 (AT)</t>
  </si>
  <si>
    <t>Data for NF estimated based on population distribution (1.6%).</t>
  </si>
  <si>
    <t>Data for PEI estimated based on population distribution (0.4%).</t>
  </si>
  <si>
    <t xml:space="preserve">PEI Estimates 2005-06.  See page 109 "cash and material benefits" and "special needs".   </t>
  </si>
  <si>
    <t xml:space="preserve">PEI Plublic Accounts 09-10, see Dept. of Community Services and Seniors, Social </t>
  </si>
  <si>
    <t>Data for NS estimated based on population distribution (2.9%).</t>
  </si>
  <si>
    <t>Data for NS estimated based on population distribution (2.8%).</t>
  </si>
  <si>
    <t xml:space="preserve">NS Estimates, Supplementary Detail, 2010-11  See page 4.10 Income Assistance </t>
  </si>
  <si>
    <t>Data for NB estimated based on population distribution (2.3%).</t>
  </si>
  <si>
    <t>Data for NB estimated based on population distribution (2.2%).</t>
  </si>
  <si>
    <t>Disability portion est. at 44% based on caseload distribution</t>
  </si>
  <si>
    <t>Data for QUE estimated based on population distribution (23.5%).</t>
  </si>
  <si>
    <t>Data for QUE estimated based on population distribution (23.2%).</t>
  </si>
  <si>
    <t xml:space="preserve">2009-10 Public Accounts, Vol II, page 2-108 Assistance to Individuals and Families- </t>
  </si>
  <si>
    <t>transfers.   Estimated at 44% based on expenditure breakdown for March 2010</t>
  </si>
  <si>
    <t>Data for Sask estimated based on population distribution (3.1%).</t>
  </si>
  <si>
    <t xml:space="preserve">Provincial breakdown not a/v online.  Used unpublished SSS 2009-10 data </t>
  </si>
  <si>
    <t>which show Ontario received 34.6% of total benefits.</t>
  </si>
  <si>
    <t>Data for Manitoba estimated based estimated population distribution (3.7%).</t>
  </si>
  <si>
    <t>which show Manitoba received 4.5% of total benefits.</t>
  </si>
  <si>
    <t>Data for BC estimated based on population distribution (13%).</t>
  </si>
  <si>
    <t>which show BC received 19.2% of total benefits.</t>
  </si>
  <si>
    <t>which show Alta received 9.8% of total benefits.</t>
  </si>
  <si>
    <t>which show PEI received 1.8% of total benefits.</t>
  </si>
  <si>
    <t>which show PEI received 1.1% of total benefits.</t>
  </si>
  <si>
    <t>which show NS received 7.5% of total benefits.</t>
  </si>
  <si>
    <t>which show NB received 6.0% of total benefits.</t>
  </si>
  <si>
    <t>which show Quebec received 11.8% of total benefits.</t>
  </si>
  <si>
    <t>which show Sask received 3.4% of total benefits.</t>
  </si>
  <si>
    <t>Ontario received 34.1 of total benefits.</t>
  </si>
  <si>
    <t xml:space="preserve">Provincial breakdown not a/v online.  Used unpublished SSS 2005-06 data, which show </t>
  </si>
  <si>
    <t>April 2012 - Vets figures revised to include Disability Awards</t>
  </si>
  <si>
    <t xml:space="preserve">               - tax credit data revised based updated population estimates</t>
  </si>
  <si>
    <t>April 2012 - tax credit data revised based updated population estimates</t>
  </si>
  <si>
    <t xml:space="preserve">                - 2005-06 tax credits revised based on updated population data</t>
  </si>
  <si>
    <t>Ontario figures estimated at 38.9% of Canada total</t>
  </si>
  <si>
    <t>Ontario figures estimated at 38.8% of Canada total</t>
  </si>
  <si>
    <t>Veterans' Disability Pensions &amp; Awards</t>
  </si>
  <si>
    <t xml:space="preserve">category Income Assistance - allowances and assistance.   Estimated at 25% </t>
  </si>
  <si>
    <t>of total based on caseload distribution by reason for assistance (see annual reports)</t>
  </si>
  <si>
    <t>Public Accounts 2005-06, vol II.  See page 148, Extended Benefits Program</t>
  </si>
  <si>
    <t>Public Accounts year ended March 2010, vol II.  See page 178, EPB</t>
  </si>
  <si>
    <t>CPP &amp; OAS Stats Book, 2006, Table 23, net expenditures</t>
  </si>
  <si>
    <t xml:space="preserve"> CPP &amp; OAS Stat Bulletin, Dec. 2006, Table 2, net expenditures</t>
  </si>
  <si>
    <t>ON</t>
  </si>
  <si>
    <t>AB</t>
  </si>
  <si>
    <t>CAN</t>
  </si>
  <si>
    <t>09-10</t>
  </si>
  <si>
    <t>DIDN'T USE QUEBEC DATA IN GRAPH.  ALL OTHER PROVINCES REPORT</t>
  </si>
  <si>
    <t>THE BREAKDOWNS SHOWN.  QUEBEC DATA WERE ESTIMATED</t>
  </si>
  <si>
    <t>Total SA, incl. FN</t>
  </si>
  <si>
    <t>Total Prov. SA for the Disabled</t>
  </si>
  <si>
    <t>Total SA for the Disabled incl. FN</t>
  </si>
  <si>
    <t>Income Assistance for the Disabled (IAD), incl. FN</t>
  </si>
  <si>
    <t>Total Income Support for the Disabled excl. IAD &amp; FN</t>
  </si>
  <si>
    <t>Income Assistance - NETW/BFE &amp; FN</t>
  </si>
  <si>
    <t>Total Income Support for the Disabled excl. IAD, FIRST NATIONS SA &amp; AISH</t>
  </si>
  <si>
    <t>Income Assistance, First Nations SA and AISH</t>
  </si>
  <si>
    <t>Income Assistance for the Disabled (IAD) &amp; FN</t>
  </si>
  <si>
    <t>Income Assistance &amp; FN SA</t>
  </si>
  <si>
    <t>Income Assistance for the Disabled (IAD) &amp; FN SA</t>
  </si>
  <si>
    <t>Total Income Support for the Disabled excl. IAD &amp; FN SA</t>
  </si>
  <si>
    <t>Income Asst. for the Disabled &amp; FN SA</t>
  </si>
  <si>
    <t xml:space="preserve">Income Assistance for the Disabled (IAD) &amp; FN SA </t>
  </si>
  <si>
    <t>ODSP &amp; FN SA</t>
  </si>
  <si>
    <t>TOTAL WITHOUT SA (incl FN SA)</t>
  </si>
  <si>
    <t>and inclusion of territories in national  data</t>
  </si>
  <si>
    <t>NF &amp; LAB</t>
  </si>
  <si>
    <t>ONT</t>
  </si>
  <si>
    <t>MAN</t>
  </si>
  <si>
    <t>Increase in social assistance spending on the disabled, by province, 2005-06 TO 2009-10</t>
  </si>
  <si>
    <t>Source:  Statistics Canada CANSIM Table 111-0007</t>
  </si>
  <si>
    <t>From David Campbells's blog on economic development in Atlantic Canada</t>
  </si>
  <si>
    <t>2010-11</t>
  </si>
  <si>
    <t>2010-2011</t>
  </si>
  <si>
    <t>July 2012, CDB amunt revised</t>
  </si>
  <si>
    <t>2010 tax yr.est.</t>
  </si>
  <si>
    <t>.</t>
  </si>
  <si>
    <t>http://www.hrsdc.gc.ca/eng/employment/ei/reports/eimar_2011/annex/annex3_1.shtml</t>
  </si>
  <si>
    <t>EI Monitoring and Assessment Report 2011, Annex 3 Sickness Benefits</t>
  </si>
  <si>
    <t xml:space="preserve"> Assoc. of WComp Boards of Canada -  Key Stat. Measures, </t>
  </si>
  <si>
    <t>data not available in 2011 report.  Estimate used</t>
  </si>
  <si>
    <t xml:space="preserve">Amounts reflect actual claims paid to individuals.  </t>
  </si>
  <si>
    <t xml:space="preserve">Canadian Life and Health Insurance Assoc. </t>
  </si>
  <si>
    <t>http://www.fin.gov.nl.ca/fin/publications/CRFreport_march2011.pdf</t>
  </si>
  <si>
    <t>http://www.novascotia.ca/finance/site-finance/media/finance/budget2011/Estimates_And_Supp_detail.pdf</t>
  </si>
  <si>
    <t>Public Accounts year ended March 2011, vol II.  See page 179</t>
  </si>
  <si>
    <t>http://www.gnb.ca/0087/pubacct/PA11v2.pdf</t>
  </si>
  <si>
    <t xml:space="preserve">2009-10 Public Accounts, Vol II, page 2-105 Assistance to Individuals and Families- transfers. </t>
  </si>
  <si>
    <t>http://www.fin.gov.on.ca/en/budget/paccts/2011/11vol1eng.pdf</t>
  </si>
  <si>
    <t>Manitoba Family Services and Housing Annual Report 2009-10.    See pages 68 and 69</t>
  </si>
  <si>
    <t>Manitoba Family Services and Housing Annual Report 2010-11.    See pages 76 and 77.</t>
  </si>
  <si>
    <t>http://www.finance.alberta.ca/publications/budget/estimates/est2012/human-services.pdf</t>
  </si>
  <si>
    <t xml:space="preserve">Main Estimates 2012-13, Human Services section.  See page 156, Income support </t>
  </si>
  <si>
    <t>http://www.fin.gov.bc.ca/OCG/pa/10_11/CRF_Supplementary_Sched.pdf</t>
  </si>
  <si>
    <t>http://www.finance.gov.yk.ca/pdf/budget/2012-13budget_15.pdf</t>
  </si>
  <si>
    <t xml:space="preserve">Yukon 2012-13 Operation and Maintenance Estimates, Health and Social Services Section  page 12-52 - see SA for both Whitehorse and regions. </t>
  </si>
  <si>
    <t>http://www.finance.alberta.ca/publications/budget/estimates/est2012/seniors.pdf</t>
  </si>
  <si>
    <t>2005-06, 2007-08, 2009-10 &amp; 2010-11</t>
  </si>
  <si>
    <t>July 2012 -  2010-11 updated</t>
  </si>
  <si>
    <t>July 2012 - 2010-11 updated</t>
  </si>
  <si>
    <t>ISP Statistical Bulletin, Sept. 2011, Table 2</t>
  </si>
  <si>
    <t>EI Monitoring and Assessment Report 2011, Annex 2 Sickness Benefits</t>
  </si>
  <si>
    <t>Assoc. of WComp Boards of Canada - Key Stat. Measures, 2010</t>
  </si>
  <si>
    <t>OAS stat bulletin Sept 2011,unpublished</t>
  </si>
  <si>
    <t>SA for disabled + IAPD - see SA 10-11 sheet</t>
  </si>
  <si>
    <t xml:space="preserve"> Assoc. of WComp Boards of Canada - 2010 Key Stat. Measures, </t>
  </si>
  <si>
    <t xml:space="preserve">2010 - Canadian Life and Health Insurance Assoc. </t>
  </si>
  <si>
    <t>ESTIMATED EXPENDITURE ON SA DISABILITY BENEFITS - 2010-11</t>
  </si>
  <si>
    <t>https://www.gov.mb.ca/fs/about/annual_reports/fsca_ar_2011_12.pdf</t>
  </si>
  <si>
    <t>http://www.mess.gouv.qc.ca/statistiques/prestataires-assistance-emploi/archives_en.asp</t>
  </si>
  <si>
    <t>Based on March 2011 monthly statistical report - see Tableau 1</t>
  </si>
  <si>
    <t>OAS stat bulletin Sept. 2011,unpublished</t>
  </si>
  <si>
    <t>see SA 10-11 sheet</t>
  </si>
  <si>
    <t>http://www.finance.gov.sk.ca/paccts/paccts11/201011Volume2.pdf</t>
  </si>
  <si>
    <t>Public Accounts, 2010-11  Volume II, page 199 - 'SAP" and "TEA" transfers</t>
  </si>
  <si>
    <t xml:space="preserve">*  Disabled component of SA was estimated using the expenditure distributions in Quebec, Ontario, Manitoba and BC </t>
  </si>
  <si>
    <t>see SA 10-11 sheet - represents the Barriers to Full Employment component of Income Support</t>
  </si>
  <si>
    <t xml:space="preserve">2010- Canadian Life and Health Insurance Assoc. </t>
  </si>
  <si>
    <t>Data for NS estimated based on population distribution (2.7%).</t>
  </si>
  <si>
    <t xml:space="preserve">2010-11 Public Accounts, Vol II, page 2-108 Assistance to Individuals and Families- </t>
  </si>
  <si>
    <t>July 2012 - figures updated to 2010-11</t>
  </si>
  <si>
    <t>July 2012</t>
  </si>
  <si>
    <t xml:space="preserve">Report on Program Expenditures &amp; Revenue of CRF, 2010-11 - see page 141, category Income Assistance - allowances and assistance.  </t>
  </si>
  <si>
    <t>PEI Public Accounts 2010-11, Vol II, see Dept. of Community Services and Seniors, Social Programs page 90, "cash and material benefits" and "special needs"</t>
  </si>
  <si>
    <t>NS Estimates, Supplementary Detail, 2010-11  See page 5.10 Income Assistance payments, forecast amount</t>
  </si>
  <si>
    <t xml:space="preserve">2010-11 Public Accounts, Vol II, page 2-105 Assistance to Individuals and Families- transfers. </t>
  </si>
  <si>
    <t xml:space="preserve">2010-11 Public Accounts, Vol I    See page 2-93 ,  Transfer pmts - financial assistance amounts only.  </t>
  </si>
  <si>
    <t>Public Accounts 2010-11 - Consolidated Revenue Fund Supplementary Schedules.  See Ministry of Housing and Social Development section, Temporary Assistance and Disability Assistance - "gov't transfers"  p 93</t>
  </si>
  <si>
    <t>estimated based on previous years</t>
  </si>
  <si>
    <t>Data for BC estimated based on population distribution (13.3%).</t>
  </si>
  <si>
    <t>Data for AB estimated based on population distribution (11%).</t>
  </si>
  <si>
    <t>July 2012 - 2011-12 updated</t>
  </si>
  <si>
    <t>July 2012  - updated to 2010-11</t>
  </si>
  <si>
    <t>Public Accounts year ended March 2011, vol II.  See page 179, EPB</t>
  </si>
  <si>
    <t>OAS stat bulletin Sept  2011,unpublished</t>
  </si>
  <si>
    <t>transfers.   Estimated at 45% based on expenditure breakdown for March 2011.</t>
  </si>
  <si>
    <t>Federal Disability Report 2011 (ODI)</t>
  </si>
  <si>
    <t>http://www.hrsdc.gc.ca/eng/disability_issues/reports/fdr/2011/fdr_2011.pdf</t>
  </si>
  <si>
    <t>ODI report, 2011</t>
  </si>
  <si>
    <t>ODI report 2011</t>
  </si>
  <si>
    <t>CPP &amp; OAS Stats Book, 2011, Table 8, net expenditures</t>
  </si>
  <si>
    <t>CPP &amp; OAS Stats Book, 2011, Table 23, net expenditures</t>
  </si>
  <si>
    <t>2010-11 provincial reports - Main Est., Public Accounts</t>
  </si>
  <si>
    <t>See SA 10-11 sheet</t>
  </si>
  <si>
    <t xml:space="preserve">2004-05 Public Accounts  http://www.fin.gov.on.ca/english/budget/paccts/2005/05vol1eng.pdf   See page 124 (in left column).  OW Amounts have been increased by 20% to reflect the municipal contributions (province pays 80%).  </t>
  </si>
  <si>
    <t xml:space="preserve">Revised July 2012 - ODSP amount in Public Accounts represents 100% </t>
  </si>
  <si>
    <t xml:space="preserve">Revised July 2012 </t>
  </si>
  <si>
    <t>Revised July 2012</t>
  </si>
  <si>
    <t>2005-06 Public Accounts, Vol I    See page 2-92.  OW amount has been increased by 25% to reflect the municipal contribution.</t>
  </si>
  <si>
    <t>2008-09 Public Accounts, Vol I    See page 2-86 ,  financial assistance amounts only.  OW amount has been increased by 25% to reflect the municipal contribution.</t>
  </si>
  <si>
    <t>r July 2012</t>
  </si>
  <si>
    <t>2009-10 Public Accounts, Vol I    See page 2-89 ,  financial assistance amounts only.  OW amount has been increased by 25% to reflect the municipal contribution.</t>
  </si>
  <si>
    <t>revised July 2012</t>
  </si>
  <si>
    <t>OW amounts reported have been allocated at 80% provincial and 20% municipal.  ODSP amounts in Public Accounts represent 100% of spending</t>
  </si>
  <si>
    <t xml:space="preserve">OW allocated at 81% provincial/19% municipal.  </t>
  </si>
  <si>
    <t>ODSP amount in Public Accounts represents 100% of spending</t>
  </si>
  <si>
    <t>OW amounts reported have been allocated at 81% provincial and 19% municipal.  ODSP amounts in Public Accounts represent 100% of spending</t>
  </si>
  <si>
    <t>July 2012 - revised total Ontario figure - ODSP component in Public Accounts represents 100% of total ODSP spending, not 80%.</t>
  </si>
  <si>
    <t>July 2012 - estimated SA expenditures revised based on revised ODSP expenditures in Ontario.</t>
  </si>
  <si>
    <t xml:space="preserve">July 2012 - 2010-11 updated.  </t>
  </si>
  <si>
    <t xml:space="preserve">               - SA figures and totals revised for 05-06, 08-09 and 09-10  based on revised ODSP figures for Ontario.</t>
  </si>
  <si>
    <t>July 2012 - SA figures and totals revised for 05-06, 08-09 and 09-10  based on revised ODSP figures for Ontario.</t>
  </si>
  <si>
    <t>July 2012 - ODSP figures and totals revised for 05-06, 08-09 and 9-10.  ODSP amounts reported in Public Accounts represent 100% of spending.</t>
  </si>
  <si>
    <t>July 2012 - ODSP figures revised.  Public Accounts represent 100% of ODSP expenditures, not 80%.</t>
  </si>
  <si>
    <t>Main Estimates 2012--13, Seniors and Community Supports section.  See page 227, AISH, financial assistance grants, 10-11 actual</t>
  </si>
  <si>
    <t>% change 05-06 to 10-11</t>
  </si>
  <si>
    <t>Estimated based on previous year</t>
  </si>
  <si>
    <t>ODSP expenditures in PA represent 100% of spending, not 80%.  This has reduced the share overall</t>
  </si>
  <si>
    <t>2010-11 Public Accounts of Ontario</t>
  </si>
  <si>
    <t>see SA by province 10-11 sheet</t>
  </si>
  <si>
    <t>Total Income Support for the Disabled excl. ODSP &amp; FN SA</t>
  </si>
  <si>
    <t>Rec'd bby e-mail f rom E. Wills, HRSDC</t>
  </si>
  <si>
    <t>Rec''d by e-m,ail from E. Wills, HRSDC</t>
  </si>
  <si>
    <t xml:space="preserve">BC estimated at 19.9% of total benefit based on SSS data.  </t>
  </si>
  <si>
    <t>See SA sheet 10-11</t>
  </si>
  <si>
    <t xml:space="preserve"> Assoc. of WComp Boards of Canada - 20010Key Stat. Measures, </t>
  </si>
  <si>
    <t xml:space="preserve">Report on Program Expenditures &amp; Revenue of CRF, 2010-11 - see page 141,   </t>
  </si>
  <si>
    <t xml:space="preserve">PEI Plublic Accounts 10-11, see Dept. of Community Services and Seniors, Social </t>
  </si>
  <si>
    <t>Rec'd by e-mail frrom E. Wills, HRSDC</t>
  </si>
  <si>
    <t>10-11</t>
  </si>
  <si>
    <t>CHECK FOR TOTAL SPENDING</t>
  </si>
  <si>
    <t>July 2012 - 2010-11 figures updated</t>
  </si>
  <si>
    <t>Total disability</t>
  </si>
  <si>
    <t>Total SA</t>
  </si>
  <si>
    <t xml:space="preserve">CROSS CHECK - LINKS TO DATA IN TABLES </t>
  </si>
  <si>
    <t>Newfoundland &amp; Labrador</t>
  </si>
  <si>
    <t>Prince Edward Island</t>
  </si>
  <si>
    <t>Nova Scotia</t>
  </si>
  <si>
    <t>New Brunswick</t>
  </si>
  <si>
    <t>Saskatchewan</t>
  </si>
  <si>
    <t>Quebec</t>
  </si>
  <si>
    <t>Disabled $</t>
  </si>
  <si>
    <t>Total $</t>
  </si>
  <si>
    <t>AB - AISH</t>
  </si>
  <si>
    <t>Ratio of EI Income Recipients to Employment Income Earners, 2009 &amp; 2010</t>
  </si>
  <si>
    <t>EI Payments Per Capita, by Province, 2009 &amp; 2010</t>
  </si>
  <si>
    <t>Population data from Statistics Canada.</t>
  </si>
  <si>
    <t>Annie has separate files with raw data</t>
  </si>
  <si>
    <t>Total SA for Disabled</t>
  </si>
  <si>
    <t>Total Spending on Disabled</t>
  </si>
  <si>
    <t>NL &amp; LAB</t>
  </si>
  <si>
    <t>est. at 55% of total SA spending - see below</t>
  </si>
  <si>
    <t>est. at 55% of total SA spending</t>
  </si>
  <si>
    <t xml:space="preserve"> USE 55% OVERALL DISTRIBUTION </t>
  </si>
  <si>
    <t>revised to 55% Oct. 2012</t>
  </si>
  <si>
    <t>Manitoba - "disabled"</t>
  </si>
  <si>
    <t xml:space="preserve">               - 'employables'</t>
  </si>
  <si>
    <t xml:space="preserve">               - IAPD</t>
  </si>
  <si>
    <t xml:space="preserve">                    MANITOBA ADDED OCTOBER 2012</t>
  </si>
  <si>
    <t>Oct. 2012 - SA share of spending on the disabled revised from 60% to 55%</t>
  </si>
  <si>
    <r>
      <t xml:space="preserve">* </t>
    </r>
    <r>
      <rPr>
        <sz val="10"/>
        <rFont val="Arial"/>
        <family val="2"/>
      </rPr>
      <t xml:space="preserve">Disabled expenditures estimated at 55% of total expenditures.  See SA 10-11 sheet for details.  </t>
    </r>
  </si>
  <si>
    <t>r Oct. 2012</t>
  </si>
  <si>
    <t>Oct. 2012 - SA figures revised.  Spending on the disabled estimated at 55% (rather than 60%) of total SA spending.</t>
  </si>
  <si>
    <r>
      <t xml:space="preserve">(excludes employment supports, drug costs) - straight financial benefits only.  </t>
    </r>
    <r>
      <rPr>
        <b/>
        <i/>
        <sz val="10"/>
        <color rgb="FFFF0000"/>
        <rFont val="Arial"/>
        <family val="2"/>
      </rPr>
      <t>Manitoba added in Oct. 2012</t>
    </r>
  </si>
  <si>
    <t>SSS Table 141, unpublished - estimated at 55% of total</t>
  </si>
  <si>
    <t>SSS Table 141, unpublished - estimated at % of total</t>
  </si>
  <si>
    <t>Oct. 2012 - share of FN SA for disabled revised from 60% to 55%</t>
  </si>
  <si>
    <t xml:space="preserve"> I couldn't find actual $ anywhere - these are the 2005-06 forecast.  Est. at 55%</t>
  </si>
  <si>
    <t>Programs page 152, See "cash and material benefits" and "special needs". Est at 55%</t>
  </si>
  <si>
    <t>Programs page 90, See "cash and material benefits" and "special needs". Est at 55%</t>
  </si>
  <si>
    <t>payments, 2005-06 actual.  Estimated at 55% of total</t>
  </si>
  <si>
    <t>payments, forecast amount.  Estimated at 55% of total.</t>
  </si>
  <si>
    <t>Oct. 2012 - share of First Nations SA spending on disabled revised from 60% to 55% for all years</t>
  </si>
  <si>
    <t>Public Accounts, 2010-11  Volume II, page 199 - 'SAP" transfers, est at 55%</t>
  </si>
  <si>
    <t>Public Accounts, 2009-10  Volume II, page 29 - 'SAP" transfers, est at 55%</t>
  </si>
  <si>
    <r>
      <t xml:space="preserve">Total Spending on Disabled </t>
    </r>
    <r>
      <rPr>
        <b/>
        <i/>
        <sz val="10"/>
        <rFont val="Arial"/>
        <family val="2"/>
      </rPr>
      <t>EXCL</t>
    </r>
    <r>
      <rPr>
        <b/>
        <sz val="10"/>
        <rFont val="Arial"/>
        <family val="2"/>
      </rPr>
      <t xml:space="preserve"> SA</t>
    </r>
  </si>
  <si>
    <t>slight diff due to standard 55% used to estimate SA across most provinces</t>
  </si>
  <si>
    <t>Percentage for March is used to estimate annual distribution of expenditures</t>
  </si>
  <si>
    <t>*  Disabled component of SA was estimated using the expenditure distributions in Quebec, Ontario, Manitoba and BC in 2009-10</t>
  </si>
  <si>
    <t>October 2012 - revised estimated percent of spending on the disabled from 60% to 55% based on recent revisions.</t>
  </si>
  <si>
    <t>October 2012 - estimated national percentage of SA spending on the disabled revised to 55% from 60%.</t>
  </si>
  <si>
    <t>October 2012 - percentage of First Nations SA spending revised to 55% from 60%.</t>
  </si>
  <si>
    <t>Oct. 2012 - share of SA spending on disabled revised to 55% from 60%</t>
  </si>
  <si>
    <t>Oct. 2012 - share of SA spending on disabled revised to 55% from 60% for all years</t>
  </si>
  <si>
    <t>Oct. 2012 - share of SA spending on disabled revised to 55% from 60% or all years</t>
  </si>
  <si>
    <t>Oct. 2012 - share of First Nations SA spending on disabled revised to 55% from 60%</t>
  </si>
  <si>
    <t>Oct. 2012 - share of First Nations SA spending on disabled revised to 55% from 60% for all years</t>
  </si>
  <si>
    <t>Oct. 2012 - FN share revised to 55% of total from 60%</t>
  </si>
  <si>
    <t>Oct. 2012</t>
  </si>
  <si>
    <t>revised Oct. 2012</t>
  </si>
  <si>
    <t>2008-09  Public Accounts of Ontario, revised July 2012</t>
  </si>
  <si>
    <t>Unpublished SSS data, revised Oct. 2012</t>
  </si>
  <si>
    <t>Total SA, incl. FN and AISH</t>
  </si>
  <si>
    <t>SK</t>
  </si>
  <si>
    <t xml:space="preserve">SA for the Disabled, incl. FN </t>
  </si>
  <si>
    <t>PER CAPITA AMOUNTS</t>
  </si>
  <si>
    <t>Source:  CANSIM Table 051-0001</t>
  </si>
  <si>
    <t>2011-12</t>
  </si>
  <si>
    <t>2011-2012</t>
  </si>
  <si>
    <t>2011 tax yr.est.</t>
  </si>
  <si>
    <t>Amounts reflect actual claims paid to individuals (direct paid basis)</t>
  </si>
  <si>
    <t>Rec'd by e-mail from L. Gouliquer, HRSDC</t>
  </si>
  <si>
    <t>EI Monitoring and Assessment Report 2012, Annex 2.12</t>
  </si>
  <si>
    <t>http://www.tpsgc-pwgsc.gc.ca/recgen/cpc-pac/2012/vol2/acc-vac/index-eng.html</t>
  </si>
  <si>
    <t>Public Accounts of Canada, Vets Affairs, Transfer Payments</t>
  </si>
  <si>
    <t>Public Accounts year ended March 2012, vol II.  See page 182, "Income Security"</t>
  </si>
  <si>
    <t xml:space="preserve">OW allocated at 83% provincial/17% municipal.  </t>
  </si>
  <si>
    <t xml:space="preserve">Yukon 2013-14 Operation and Maintenance Estimates, Health and Social Services Section  page 13-46 - see SA for both Whitehorse and regions. </t>
  </si>
  <si>
    <t xml:space="preserve">As of January 2011 the province paid 82.8% of OW.  See http://www.mcss.gov.on.ca/documents/en/mcss/social/directives/ow/1103.pdf </t>
  </si>
  <si>
    <t>OW amounts reported have been allocated at 83% provincial and 17% municipal.  ODSP amounts in Public Accounts represent 100% of spending</t>
  </si>
  <si>
    <t>NWT Main Estimates 2013-14, page 10-27</t>
  </si>
  <si>
    <t>http://www.gov.mb.ca/ctt/pdfs/11_12_ett_ar.pdf</t>
  </si>
  <si>
    <t>see E&amp;I Asst Expenditures by Category - "disabled" component page 50</t>
  </si>
  <si>
    <t>see IAPD expenditures, page 51</t>
  </si>
  <si>
    <t>Based on March 2012 monthly statistical report - see Tableau 1</t>
  </si>
  <si>
    <t xml:space="preserve">ODSP expenditures in PA represent 100% of spending, not 80%. </t>
  </si>
  <si>
    <t>Manitoba Entrepreneurship, Training and Trade Annual Report 2011-12.    See pages 50 and 51.</t>
  </si>
  <si>
    <t>Veterans' Disability Awards</t>
  </si>
  <si>
    <t>Federal Disability Report no longer produced.  Estimated at 10% increase over 2010.</t>
  </si>
  <si>
    <t>January 2014 - 2011-12 figures updated</t>
  </si>
  <si>
    <t>Population estimates revised</t>
  </si>
  <si>
    <t>Rec'd by e-mail from Deborah Salter, Veterans Affairs</t>
  </si>
  <si>
    <t>2011-12 Public Accounts of Ontario</t>
  </si>
  <si>
    <t>see SA by province 11-12 sheet</t>
  </si>
  <si>
    <t xml:space="preserve">             population estimates</t>
  </si>
  <si>
    <t>SA for disabled + IAPD - see SA 11-12  sheet</t>
  </si>
  <si>
    <t xml:space="preserve">Assoc. of WComp Boards of Canada - Key Stat. Measures, </t>
  </si>
  <si>
    <t>% change 05-06 to 11-12</t>
  </si>
  <si>
    <t xml:space="preserve">Report on Program Expenditures &amp; Revenue of CRF, 2011-12 - see page 76, category Income Assistance - allowances and assistance.  </t>
  </si>
  <si>
    <t>http://www.fin.gov.nl.ca/fin/publications/cash_stmts_2012.pdf</t>
  </si>
  <si>
    <t>http://www.gov.pe.ca/photos/original/fema_pa2012vol2.pdf</t>
  </si>
  <si>
    <t>PEI Public Accounts 2011-12, Vol II, see Dept. of Community Services, Seniors &amp; Labour, Social Programs page 96, "social assistance benefits"</t>
  </si>
  <si>
    <t>http://www.novascotia.ca/finance/site-finance/media/finance/budget2012/Estimates_And_Supplementary_Detail.pdf</t>
  </si>
  <si>
    <t>N Estimates, Supplementary Detail, 2012-13  See page 5.9 Income Assistance payments, forecast amount</t>
  </si>
  <si>
    <t>http://www2.gnb.ca/content/dam/gnb/Departments/fin/pdf/OC/PA12V2.pdf</t>
  </si>
  <si>
    <t>2011-12 Public Accounts, Vol II, page 2-104 and 2-105, Assistance to Individuals and Families- transfers only</t>
  </si>
  <si>
    <t>http://www.fin.gov.on.ca/en/budget/paccts/2012/12vol1eng.pdf</t>
  </si>
  <si>
    <t xml:space="preserve">2011-12 Public Accounts, Vol I    See page 2-95 ,  Transfer pmts - financial assistance amounts only.  </t>
  </si>
  <si>
    <t>http://www.finance.gov.sk.ca/paccts/paccts12/201112Volume2.pdf</t>
  </si>
  <si>
    <t>Public Accounts, 2011-12  Volume II, page 201 - 'SAP" and "TEA" operating transfers</t>
  </si>
  <si>
    <t>http://www.finance.alberta.ca/publications/budget/estimates/est2013/human-services.pdf</t>
  </si>
  <si>
    <t xml:space="preserve">Main Estimates 2012-13, Human Services section.  See page 127, AISH, financial assistance grants </t>
  </si>
  <si>
    <t>Public Accounts 2011-12 - Consolidated Revenue Fund Supplementary Schedules.  See Ministry of Housing and Social Development section, Temporary Assistance and Disability Assistance - "gov't transfers"  p 73</t>
  </si>
  <si>
    <t>http://www.fin.gov.bc.ca/ocg/pa/11_12/CRF%20Supplementary%20Schedules%2011-12.pdf</t>
  </si>
  <si>
    <t>http://www.finance.gov.yk.ca/pdf/budget/2013-14_Main_Estimates.pdf</t>
  </si>
  <si>
    <t>http://www.fin.gov.nt.ca/budget-documents/estimates/documents/2013-14MainEstimates.pdf</t>
  </si>
  <si>
    <t>Main Estimates, 2013-14, Family Services section, Income Assistance, See SA contributions, page D-9</t>
  </si>
  <si>
    <t>http://www.finance.gov.nu.ca/apps/fetch/download.aspx?file=Budgets%2fMain+Estimates%2f634988576461875000-663546179-2013-14+Main+Estimates+-+EN.pdf</t>
  </si>
  <si>
    <t>http://www.finances.gouv.qc.ca/documents/Comptespublics/en/CPTEN_vol2-2011-2012.pdf</t>
  </si>
  <si>
    <t>Percentage for March 2012 is used to estimate annual distribution of expenditures</t>
  </si>
  <si>
    <t xml:space="preserve">2011 - Canadian Life and Health Insurance Assoc. </t>
  </si>
  <si>
    <t>% change since 2005-06</t>
  </si>
  <si>
    <t>of total based on caseload distribution by reason for assistance (see NF Statistics Agency reports)</t>
  </si>
  <si>
    <t>ESTIMATED EXPENDITURE ON SA DISABILITY BENEFITS - 2011-12</t>
  </si>
  <si>
    <t xml:space="preserve">January 2014 - all figures and calculations checked.  </t>
  </si>
  <si>
    <t>Unpublished data from CPP bulletin</t>
  </si>
  <si>
    <t>Unpublished data from CPP bulletin (fiscal year changed to Jan-Dec eff 2011 - not comparable to earlier years' data)</t>
  </si>
  <si>
    <t>Data also received from Vets. Affairs via Deborah Salter Reid</t>
  </si>
  <si>
    <t>2011-12 provincial reports - Main Est., Public Accounts e tc. s</t>
  </si>
  <si>
    <t>See SA sheet 11-12 for details</t>
  </si>
  <si>
    <t>Figures are all projections and subject to revision</t>
  </si>
  <si>
    <r>
      <t xml:space="preserve">* </t>
    </r>
    <r>
      <rPr>
        <sz val="10"/>
        <rFont val="Arial"/>
        <family val="2"/>
      </rPr>
      <t xml:space="preserve">Disabled expenditures estimated at 55% of total expenditures.  See SA 11-12 sheet for details.  </t>
    </r>
  </si>
  <si>
    <t>Rec'd via e-mail from Deborah Salter Reid, Vets Affairs</t>
  </si>
  <si>
    <t xml:space="preserve">Report on Program Expenditures &amp; Revenue of CRF, 2011-12 - see page 141,   </t>
  </si>
  <si>
    <t xml:space="preserve"> Assoc. of WComp Boards of Canada - 2011 Key Stat. Measures, </t>
  </si>
  <si>
    <t xml:space="preserve">Provincial breakdown not a/v. </t>
  </si>
  <si>
    <t>NF data estimated based on population distribution (1.5%)</t>
  </si>
  <si>
    <t>ON data estimated based on population distribution (38.6%)</t>
  </si>
  <si>
    <t>Jan. 2014 - 2011-12 updated and verified</t>
  </si>
  <si>
    <t>PEI data estimated based on population distribution (0.4%)</t>
  </si>
  <si>
    <t>Rec'd via e-mail from Alice Freeburn, CLHIA</t>
  </si>
  <si>
    <t>NS data estimated based on population distribution (2.8%)</t>
  </si>
  <si>
    <t>N data estimated based on population distribution (2.2%)</t>
  </si>
  <si>
    <t>Data for QUE estimated based on population distribution (23.3%).</t>
  </si>
  <si>
    <t>Jan 2014 - 2011-12 updated and verified</t>
  </si>
  <si>
    <t>MB data estimated based on population distribution (3.6%)</t>
  </si>
  <si>
    <t>Provincial breakdown not available</t>
  </si>
  <si>
    <t>Data for SK estimated based on population distribution (3.1%).</t>
  </si>
  <si>
    <t>AB data estimated based on population distribution (11.0%)</t>
  </si>
  <si>
    <t>BC data estimated based on population distribution (13.1%)</t>
  </si>
  <si>
    <t>Jan 2014 - Vets amount for 2010-11 revised</t>
  </si>
  <si>
    <t>Jan. 2014 - Vets data for 2010-11 revised</t>
  </si>
  <si>
    <t>January 2014 - Vets data for 2010-11 revised</t>
  </si>
  <si>
    <t>http://epe.lac-bac.gc.ca/100/201/301/public_accounts_can/pdf/2011/50-eng.pdf</t>
  </si>
  <si>
    <t>Includes both Disability Pensions and Dis. Awards</t>
  </si>
  <si>
    <t>Feb. 2014</t>
  </si>
  <si>
    <t>Rec'd by e-mail from Deborah Salter Reid, Vets. Affairs</t>
  </si>
  <si>
    <t>Unpublished.  Includes Disability Pensions and Disability Awards</t>
  </si>
  <si>
    <t>Unpublished data.  Received from Aboriginal Affairs and Northern Development</t>
  </si>
  <si>
    <t>Rec'd via e-mail</t>
  </si>
  <si>
    <t>r - Feb 14</t>
  </si>
  <si>
    <t>Feb. 2014 - First Nations SA figure revised based on data received from Aboriginal Affairs and Northern Development</t>
  </si>
  <si>
    <t>Rec'd by e-mail</t>
  </si>
  <si>
    <t>Feb. 2014 - First Nations SA figure revised</t>
  </si>
  <si>
    <t>Rec'd by e-mail from Aboriginal Affairs and Northern Development, Feb. 2014</t>
  </si>
  <si>
    <t xml:space="preserve">Received from Aboriginal Affairs and Northern Development, Feb. 2014.  </t>
  </si>
  <si>
    <t>revised Jan 2012 based on updated SSS data (Table 141) received by HP Therien (reconciles with DIAND's Feb. 2014 data)</t>
  </si>
  <si>
    <t>Rec'd via e-mail Feb. 2014</t>
  </si>
  <si>
    <t>Feb. 2014 - First Nations SA data revised</t>
  </si>
  <si>
    <t xml:space="preserve">Feb. 2014 - First Nations Sa data revised.  </t>
  </si>
  <si>
    <t>Rec'd by e-mail, Feb. 2014</t>
  </si>
  <si>
    <t>Feb. 2014 - First Nations data revised</t>
  </si>
  <si>
    <t>Estimated at 0.7% of 55% of total for Atlantic Region based on 09-10 distribution.  Data from DIAND</t>
  </si>
  <si>
    <t>Estimated at 1.3% of 55% of Atlantic Region based on 09-10 distribution.  Data from DIAND</t>
  </si>
  <si>
    <t>Estimated at 46% of 55% of Atlantic Region total based on 09-10 distribution.  Data from DIAND</t>
  </si>
  <si>
    <t>Estimated at 52% of 55% of Atlantic Region total based on 09-10 distribution.  Data from DIAND</t>
  </si>
  <si>
    <t>Unpublished data.  Received from Aboriginal Affairs and Northern Development. Est at 55% of total.</t>
  </si>
  <si>
    <t>Feb. 2014 First Nations SA data revised</t>
  </si>
  <si>
    <t>Unpublished data.  Received from Aboriginal Affairs and Northern Development. Estimated at 55% of total</t>
  </si>
  <si>
    <t>Unpublished data.  Received from Aboriginal Affairs and Northern Development.  Estimated at 55% of total.</t>
  </si>
  <si>
    <t>Rec'd from Aboriginal Affairs and Northern Development, Feb. 2014.  Est at 55% of total</t>
  </si>
  <si>
    <t>Received by e-mail</t>
  </si>
  <si>
    <t>Feb. 2014 - First Nations SA data revised for 2010-11</t>
  </si>
  <si>
    <t>Jan. 2014 - figures updated to 2011-12, Veteran's data revised for 2010-11 and First Nations SA data revised for 2010-11.</t>
  </si>
  <si>
    <t>Feb. 2014 - First Nations SA data for 2010-11 revised</t>
  </si>
  <si>
    <t xml:space="preserve">  </t>
  </si>
  <si>
    <t>Data for QUE estimated based on population distribution (23.1%).</t>
  </si>
  <si>
    <t>Used March 2012 split and applied it against total fiscal year spending</t>
  </si>
  <si>
    <t>http://www.fin.gc.ca/taxexp-depfisc/2013/taxexp-depfisc13-eng.pdf</t>
  </si>
  <si>
    <t>Finance Canada Tax Expenditures 2013</t>
  </si>
  <si>
    <t>Federal Disability Report no longer produced.  Estimated at 15% increase over 2010.</t>
  </si>
  <si>
    <t>Updated March 3, 2014 based on 2013 Tax Expenditures Report</t>
  </si>
  <si>
    <t>March 2014 - Tax expenditures data updated based on 2013 report</t>
  </si>
  <si>
    <t>March 2014 - data expenditures updated based on 2013 report</t>
  </si>
  <si>
    <t>March 2014 - tax expenditures updated based on 2013 report</t>
  </si>
  <si>
    <t>March 2014 - tax expenditures updated based on 2013 data</t>
  </si>
  <si>
    <t>March 2014 - tax expenditures revised based on 2013 data</t>
  </si>
  <si>
    <t>March 2014 - tax expenditure data updated based on 2013 report</t>
  </si>
  <si>
    <t>March 2014 - tax expenditure data revised based on 2013 report</t>
  </si>
  <si>
    <t>March 2014 - tax expenditures revised based on 2013 report</t>
  </si>
  <si>
    <t>TOTAL EXPENDITURES BY AGGREGATE = IA ONLY, TOTAL SPENDING AND TOTAL LESS IA, 2011-12</t>
  </si>
  <si>
    <t>2012-13</t>
  </si>
  <si>
    <t>2013-14</t>
  </si>
  <si>
    <t xml:space="preserve">Report on Program Expenditures &amp; Revenue of CRF, 2012-13 - see page 76, category Income Assistance - allowances and assistance.  </t>
  </si>
  <si>
    <t>http://www.fin.gov.nl.ca/fin/publications/crf_expenditures_revenues.pdf</t>
  </si>
  <si>
    <t>http://www.fin.gov.nl.ca/fin/publications/2013-14_Report_on_Program_Expenditures_&amp;_Revenues_of_the_CRF.pdf</t>
  </si>
  <si>
    <t>http://www.gov.pe.ca/photos/original/fema_pa2013_vo2.pdf</t>
  </si>
  <si>
    <t>PEI Public Accounts 2012-13, Vol II, see Dept. of Community Services, Seniors &amp; Labour, Social Programs page 96, "social assistance benefits"</t>
  </si>
  <si>
    <t>http://www.gov.pe.ca/photos/original/femapa2014vol2.pdf</t>
  </si>
  <si>
    <t>PEI Public Accounts 2013-14, Vol II, see Dept. of Community Services, Seniors &amp; Labour, Social Programs page 97, "social assistance benefits"</t>
  </si>
  <si>
    <t>http://www.novascotia.ca/finance/site-finance/media/finance/budget2014/Estimates_and_Supplementary_Detail.pdf</t>
  </si>
  <si>
    <t>http://www2.gnb.ca/content/dam/gnb/Departments/fin/pdf/OC/PA13V2.pdf</t>
  </si>
  <si>
    <t>Public Accounts year ended March 2013, vol II.  See page 179, "Income Security"</t>
  </si>
  <si>
    <t>2011-12 Public Accounts, Vol II, page 204 and 205, Assistance to Individuals and Families- transfers only</t>
  </si>
  <si>
    <t>http://www.finances.gouv.qc.ca/documents/Comptespublics/en/CPTEN_vol2-2012-2013.pdf</t>
  </si>
  <si>
    <t>http://www.finances.gouv.qc.ca/documents/Comptespublics/en/CPTEN_vol2-2013-2014.pdf</t>
  </si>
  <si>
    <t>2013-14 Public Accounts, Vol II, page 186 and187, Assistance to Individuals and Families- transfers only</t>
  </si>
  <si>
    <t xml:space="preserve">2013-14 Public Accounts, Vol I    See page 2-95 ,  Transfer pmts - financial assistance amounts only.  </t>
  </si>
  <si>
    <t>http://www.fin.gov.on.ca/en/budget/paccts/2014/14vol1eng.pdf</t>
  </si>
  <si>
    <t>http://www.fin.gov.on.ca/en/budget/paccts/2013/13vol1eng.pdf</t>
  </si>
  <si>
    <t xml:space="preserve">OW allocated at 88.6% provincial/11.4% municipal.  </t>
  </si>
  <si>
    <t xml:space="preserve">OW allocated at 85.8% provincial/14.2% municipal.  </t>
  </si>
  <si>
    <t xml:space="preserve">2012-13 Public Accounts, Vol I    See page 2-97 ,  Transfer pmts - financial assistance amounts only.  </t>
  </si>
  <si>
    <t>http://www.gov.mb.ca/jec/pdfs/12_13_ett_ar.pdf</t>
  </si>
  <si>
    <t>ManitobaJobs and the Economy Annual Report 2013-14.    See pages 52 and 53.</t>
  </si>
  <si>
    <t>Manitoba Entrepreneurship, Training and Trade Annual Report 2012-13.    See pages 49 and  50.</t>
  </si>
  <si>
    <t>Public Accounts, 2012-13  Volume II, page 204 - 'SAP" and "TEA" operating transfers</t>
  </si>
  <si>
    <t>http://www.finance.gov.sk.ca/paccts/paccts13/2012-13Volume2.pdf</t>
  </si>
  <si>
    <t>http://www.finance.gov.sk.ca/paccts/paccts14/compendium/reports/2013-14Volume2.pdf</t>
  </si>
  <si>
    <t>Public Accounts, 2013-14  Volume II, page 192 - 'SAP" and "TEA" operating transfers</t>
  </si>
  <si>
    <t>http://finance.alberta.ca/publications/budget/estimates/est2014/human-services.pdf</t>
  </si>
  <si>
    <t>Main Estimates 2014-15, Human Services section.  See page 112, Employment and Income Support</t>
  </si>
  <si>
    <t xml:space="preserve">Main Estimates 2014-15, Human Services section.  See page 112, AISH, financial assistance grants </t>
  </si>
  <si>
    <t xml:space="preserve">Main Estimates 2013-14, Human Services section.  See page 126, Employment </t>
  </si>
  <si>
    <t>http://finance.alberta.ca/publications/budget/estimates/est2015/human-services.pdf</t>
  </si>
  <si>
    <t>Main Estimates 2015-16, Human Services section.  See page 128, Employment and Income Support</t>
  </si>
  <si>
    <t>http://www.fin.gov.bc.ca/ocg/pa/12_13/CRF%20Supplementary%20Schedules%2012-13.pdf</t>
  </si>
  <si>
    <t>Public Accounts 2012-13 - Consolidated Revenue Fund Supplementary Schedules.  See Ministry of Social Development section, Temporary Assistance and Disability Assistance - "gov't transfers"  p 71</t>
  </si>
  <si>
    <t xml:space="preserve">Yukon 2014-15 Operation and Maintenance Estimates, Health and Social Services Section  page 13-46 - see SA for both Whitehorse and regions. </t>
  </si>
  <si>
    <t>http://www.finance.gov.yk.ca/pdf/budget/2014-15budget_15.pdf</t>
  </si>
  <si>
    <t xml:space="preserve">Yukon 2015-16 Operation and Maintenance Estimates, Health and Social Services Section  page 13-49 - see SA for both Whitehorse and regions. </t>
  </si>
  <si>
    <t>http://www.finance.gov.yk.ca/pdf/budget/2015-16Budget_15.pdf</t>
  </si>
  <si>
    <t>http://www.fin.gov.nt.ca/sites/default/files/documents/2014-2015mainestimates.pdf</t>
  </si>
  <si>
    <t>NWT Main Estimates 2014-15, page 10-29</t>
  </si>
  <si>
    <t>http://www.fin.gov.nt.ca/sites/default/files/documents/2015-2016mainestimates.pdf</t>
  </si>
  <si>
    <t>http://www.gov.nu.ca/sites/default/files/main_estimates_2015-2016_-_english_-_for_web.pdf</t>
  </si>
  <si>
    <t>Rec'd by e-mail from Anthony Ng</t>
  </si>
  <si>
    <t>2012 tax yr.est.</t>
  </si>
  <si>
    <t>2013 tax yr.est.</t>
  </si>
  <si>
    <t>Finance Canada Tax Expenditures 2014</t>
  </si>
  <si>
    <t>http://www.gov.mb.ca/jec/pdfs/13_14_jec_ar.pdf</t>
  </si>
  <si>
    <t>Public Accounts 2013-14 - Consolidated Revenue Fund Supplementary Schedules.  See Ministry of Social Development and Social Innovation section, Temporary Assistance and Disability Assistance - "gov't transfers"  p 68-69</t>
  </si>
  <si>
    <t>NWT Main Estimates 2015-16,page 71</t>
  </si>
  <si>
    <t>Main Estimates, 2015-16, Family Services section, Income Assistance, See SA contributions, page D-6</t>
  </si>
  <si>
    <t>Estimated using 2012-13 figure</t>
  </si>
  <si>
    <t>Expenditures on Special Assistance no longer reported in Public Accounts.  Information received from</t>
  </si>
  <si>
    <t>Keith McCarthy</t>
  </si>
  <si>
    <t xml:space="preserve">As of January 2010 the province paid 80.6% of OW financial benefits.  See http://www.mcss.gov.on.ca/documents/en/mcss/social/directives/ow/1103.pdf </t>
  </si>
  <si>
    <t>Sask. Assured Income for Disability</t>
  </si>
  <si>
    <t>Public Accounts, 2013-14  Volume II, page 192 - 'SAID" operating transfers</t>
  </si>
  <si>
    <t>ESTIMATED EXPENDITURE ON SA DISABILITY BENEFITS - 2013-14</t>
  </si>
  <si>
    <t>Based on March 2014 monthly statistical report - see Tableau 1</t>
  </si>
  <si>
    <t>Percentage for March 2014 is used to estimate annual distribution of expenditures</t>
  </si>
  <si>
    <t>Used March 2014 split and applied it against total fiscal year spending</t>
  </si>
  <si>
    <t xml:space="preserve">October 2015 - all figures and calculations checked.  </t>
  </si>
  <si>
    <t xml:space="preserve"> USE 59% OVERALL DISTRIBUTION </t>
  </si>
  <si>
    <t>est. at 59% of total SA spending - see below</t>
  </si>
  <si>
    <t>est. at 59% of total SA spending</t>
  </si>
  <si>
    <t>http://www.gov.nu.ca/sites/default/files/files/Finance/Budgets/2014-15%20budgets/2014-15_Main_Estimates_EN.pdf</t>
  </si>
  <si>
    <t>Main Estimates, 2014-15, Education, Culture &amp; Employment section, Income Assistance, See SA contributions, page D-9</t>
  </si>
  <si>
    <t>OW amounts reported have been allocated at 85.8% provincial and 14,2% municipalal.  ODSP amounts in Public Accounts represent 100% of spending</t>
  </si>
  <si>
    <t xml:space="preserve">As of January 2013 the province paid 85.8% of OW.  See http://www.mcss.gov.on.ca/documents/en/mcss/social/directives/ow/1103.pdf </t>
  </si>
  <si>
    <t>Based on March 2013 monthly statistical report - see Tableau 1</t>
  </si>
  <si>
    <t xml:space="preserve"> USE 57% OVERALL DISTRIBUTION </t>
  </si>
  <si>
    <t>est. at 57% of total SA spending - see below</t>
  </si>
  <si>
    <t>est. at 57% of total SA spending</t>
  </si>
  <si>
    <t>Sask. Asssured Income for Disability</t>
  </si>
  <si>
    <t>r - Oct. 15</t>
  </si>
  <si>
    <t>r Oct. 2015</t>
  </si>
  <si>
    <t>Federal Disability Report no longer produced.  Estimated at 20% increase over 2010.</t>
  </si>
  <si>
    <t>Sask Assured Income for Disability</t>
  </si>
  <si>
    <t>r - Oct. 2015</t>
  </si>
  <si>
    <t>r - Oct 2015</t>
  </si>
  <si>
    <t>Updtaed October 2015 - includes SAID expenditures</t>
  </si>
  <si>
    <t>Updated October 2015 - ubckyded SAID data</t>
  </si>
  <si>
    <t xml:space="preserve">line 5.1 times 72%.  Series 5.11   (health and voc rehab no longer reported. </t>
  </si>
  <si>
    <t>Federal Disability Report no longer produced.  Estimated at 25% increase over 2010.</t>
  </si>
  <si>
    <t>2013-14 Public Accounts of Ontario</t>
  </si>
  <si>
    <t>see SA by province 13-14</t>
  </si>
  <si>
    <t>% change 05-06 to 2012-13</t>
  </si>
  <si>
    <t>% change 05-06 to 2013-14</t>
  </si>
  <si>
    <t>2005 to 2010</t>
  </si>
  <si>
    <t>2005 to 2013</t>
  </si>
  <si>
    <t>ESTIMATED EXPENDITURE ON SA DISABILITY BENEFITS - 2012-13</t>
  </si>
  <si>
    <t>line 5.1 times 72%.  Series 5.11   (health and voc rehab no longer reported.)</t>
  </si>
  <si>
    <t>Based on Sept. 29, 2015 data</t>
  </si>
  <si>
    <t>ESTIMATED AT 55% OF TOTAL SA</t>
  </si>
  <si>
    <t xml:space="preserve"> AND 13-14 EST. AT 59%</t>
  </si>
  <si>
    <t xml:space="preserve">SA figures revised to 55% of total spending (from 60%) for all years.  </t>
  </si>
  <si>
    <t>SPENDING TO 11-12, 12-13 EST. AT 57%</t>
  </si>
  <si>
    <t>% change 05-06 to 12-13</t>
  </si>
  <si>
    <t>% change 05-06 to 13-14</t>
  </si>
  <si>
    <t>Veterans Disability Awards</t>
  </si>
  <si>
    <t>Received from Debra Salter, Veterans Affairs</t>
  </si>
  <si>
    <t>Received via Mary Beth MacLean, Veterans Affairs</t>
  </si>
  <si>
    <t xml:space="preserve">2013 - Canadian Life and Health Insurance Assoc. </t>
  </si>
  <si>
    <t>Veterans/ Disability Pensions</t>
  </si>
  <si>
    <t>Veterans/ Disability Awards</t>
  </si>
  <si>
    <t>Amount of EI Received</t>
  </si>
  <si>
    <t>Population Estimates</t>
  </si>
  <si>
    <t>EI Payments per capita</t>
  </si>
  <si>
    <t>Ratio of EI Income Recipients to Employment Income Earners</t>
  </si>
  <si>
    <t>NEW DATA AS OF OCTOBER 2015 BELOW</t>
  </si>
  <si>
    <t>NS Estimates, Supplementary Detail, 2012-13  See page 5.9 Income Assistance payments, forecast amount</t>
  </si>
  <si>
    <t>http://www.novascotia.ca/finance/site-finance/media/finance/budget2013/Estimates_and_Supplementary_Detail.pdf</t>
  </si>
  <si>
    <t>NS Estimates, Supplementary Detail, 2013-14.  See page 5.9 Income Assistance payments, forecast amount</t>
  </si>
  <si>
    <t xml:space="preserve">ODSP expenditures in PA represent 100% of spending. </t>
  </si>
  <si>
    <t>OW expenditures in PA exclude municipal contribution</t>
  </si>
  <si>
    <t>Used March 2013 split and applied it against total fiscal year spending</t>
  </si>
  <si>
    <t xml:space="preserve">Report on Program Expenditures &amp; Revenue of CRF, 2013-14 - see page 77, category Income Assistance - allowances and assistance.  </t>
  </si>
  <si>
    <t>NS Estimates, Supplementary Detail, 2014-15  See page 5.9  Income Assistance payments, forecast amount</t>
  </si>
  <si>
    <t>Disability report no longer produced.</t>
  </si>
  <si>
    <r>
      <t xml:space="preserve">* </t>
    </r>
    <r>
      <rPr>
        <sz val="10"/>
        <rFont val="Arial"/>
        <family val="2"/>
      </rPr>
      <t xml:space="preserve">Disabled expenditures estimated at 57% of total expenditures.  See SA 12-13 sheet for details.  </t>
    </r>
  </si>
  <si>
    <t xml:space="preserve">2012-13 provincial reports - Main Est., Public Accounts etc.  </t>
  </si>
  <si>
    <t>See SA sheet 12-13 for details</t>
  </si>
  <si>
    <t>http://www.esdc.gc.ca/en/reports/ei/monitoring2013/annex2.page</t>
  </si>
  <si>
    <t>Estimated based on earlier years</t>
  </si>
  <si>
    <t>EI Monitoring and Assessment Report 2013, Annex 2.12</t>
  </si>
  <si>
    <t>http://www.esdc.gc.ca/en/reports/ei/monitoring2014/annex2.page</t>
  </si>
  <si>
    <t>Data also received from Vets. Affairs via Mary Beth MacLean</t>
  </si>
  <si>
    <t>2013-14 provincial reports - Main Est., Public Accounts etc. s</t>
  </si>
  <si>
    <t>See SA sheet 13-14 for details</t>
  </si>
  <si>
    <r>
      <t xml:space="preserve">* </t>
    </r>
    <r>
      <rPr>
        <sz val="10"/>
        <rFont val="Arial"/>
        <family val="2"/>
      </rPr>
      <t xml:space="preserve">Disabled expenditures estimated at 59% of total expenditures.  See SA 13-14 sheet for details.  </t>
    </r>
  </si>
  <si>
    <t xml:space="preserve">Veterans' Disability Pensions </t>
  </si>
  <si>
    <t>Veterans' Disability  Awards</t>
  </si>
  <si>
    <t>estimated at 69% of total reported in line 5.1</t>
  </si>
  <si>
    <t>Estimated at 0.7% of 57% of total for Atlantic Region based on 12-13 distribution.  Data from DIAND</t>
  </si>
  <si>
    <t>Programs page 90, See "cash and material benefits" and "special needs". Est at 57%</t>
  </si>
  <si>
    <t>Estimated at 1.3% of 57% of Atlantic Region based on 12-13 distribution.  Data from DIAND</t>
  </si>
  <si>
    <t xml:space="preserve">2012 - Canadian Life and Health Insurance Assoc. </t>
  </si>
  <si>
    <t xml:space="preserve">PEI Plublic Accounts 12-13, see Dept. of Community Services and Seniors, Social </t>
  </si>
  <si>
    <t>Programs page 90, See "cash and material benefits" and "special needs". Est at 59%</t>
  </si>
  <si>
    <t xml:space="preserve">estimated at 70% of line 5.1 </t>
  </si>
  <si>
    <t>NS data estimated based on population distribution (2.7%)</t>
  </si>
  <si>
    <t>Estimated at 0.7% of 59% of total for Atlantic Region based on 13-14 estimate.</t>
  </si>
  <si>
    <t>Estimated at 1.3% of 59% of Atlantic Region based on 13-14 estimate</t>
  </si>
  <si>
    <t>payments, forecast amount.  Estimated at 57% of total.</t>
  </si>
  <si>
    <t>Estimated at 46% of 57% of Atlantic Region total based on 12-13 distribution.  Data from DIAND</t>
  </si>
  <si>
    <t xml:space="preserve">estimated at 73% of line 5.1 </t>
  </si>
  <si>
    <t>EI Monitoring and Assessment Report 2013-14, Annex 2.12</t>
  </si>
  <si>
    <t>EI Monitoring and Assessment Report 2012-13, Annex 2.12</t>
  </si>
  <si>
    <t xml:space="preserve"> Assoc. of WComp Boards of Canada - 2012 Key Stat. Measures, </t>
  </si>
  <si>
    <t xml:space="preserve"> Assoc. of WComp Boards of Canada - 2013 Key Stat. Measures, </t>
  </si>
  <si>
    <t>Public Accounts year ended March 2013, vol II.  See page 182, "Income Security"</t>
  </si>
  <si>
    <t>Estimated at 52% of 55% of Atlantic Region total based on 12-13 distribution.  Data from DIAND</t>
  </si>
  <si>
    <t>Public Accounts year ended March 2014, vol II.  See page 182, "Income Security"</t>
  </si>
  <si>
    <t>transfers.   Estimated at 45.7% based on expenditure breakdown for March 2013.</t>
  </si>
  <si>
    <t>2012-13 Public Accounts, Vol II, page 2-104 and 2-105, Assistance to Individuals and Families- transfers only</t>
  </si>
  <si>
    <t>Unpublished data.  Received from Aboriginal Affairs and Northern Development. Est at 57% of total.</t>
  </si>
  <si>
    <t>transfers.   Estimated at 45.7% based on expenditure breakdown for March 2014.</t>
  </si>
  <si>
    <t>2013-14 Public Accounts, Vol II, page 2-104 and 2-105, Assistance to Individuals and Families- transfers only</t>
  </si>
  <si>
    <t>Saskatchewan - SAP</t>
  </si>
  <si>
    <t>Based on data provided by Sask giving avg $/case for disabled and non-disabled SAP cases.</t>
  </si>
  <si>
    <t>Sask - SAP</t>
  </si>
  <si>
    <t>not included for earlier years</t>
  </si>
  <si>
    <t>5 provinces - est. disabled $</t>
  </si>
  <si>
    <t>5 provinces - total expenditures</t>
  </si>
  <si>
    <t>Estimated at 59% of 2013-14 estimate</t>
  </si>
  <si>
    <t xml:space="preserve">Estimated at 62% of line 5.1 </t>
  </si>
  <si>
    <t>SAID</t>
  </si>
  <si>
    <t>Not included in earlier years</t>
  </si>
  <si>
    <t xml:space="preserve">  - Disabled</t>
  </si>
  <si>
    <t>Public Accounts, 2013-14  Volume II, page 199 - 'SAP" transfers, est at 45.3% based  on data provided by province</t>
  </si>
  <si>
    <t>Public Accounts, 2012-13  Volume II, page 199 - 'SAP" transfers, est at 53.2% based on data provided by province</t>
  </si>
  <si>
    <t>see SA 11-12 sheet - represents the Barriers to Full Employment component of Income Support</t>
  </si>
  <si>
    <t>see SA 12-13 sheet - represents the Barriers to Full Employment component of Income Support</t>
  </si>
  <si>
    <t>See SA sheet 12-13</t>
  </si>
  <si>
    <t xml:space="preserve">2012- Canadian Life and Health Insurance Assoc. </t>
  </si>
  <si>
    <t>AB data estimated based on population distribution (11.4%)</t>
  </si>
  <si>
    <t>AB data estimated based on population distribution (11.2%)</t>
  </si>
  <si>
    <t xml:space="preserve">estimated at 52% of line 5.1 </t>
  </si>
  <si>
    <t xml:space="preserve">2013- Canadian Life and Health Insurance Assoc. </t>
  </si>
  <si>
    <t>see SA 12-13 sheet</t>
  </si>
  <si>
    <t>Unpublished data.  Received from Aboriginal Affairs and Northern Development.  Estimated at 57% of total.</t>
  </si>
  <si>
    <t xml:space="preserve">Estimated at 66% of line 5.1  </t>
  </si>
  <si>
    <t>SA for disabled + IAPD - see SA 12-13  sheet</t>
  </si>
  <si>
    <t>2012-13 Public Accounts of Ontario</t>
  </si>
  <si>
    <t>estimated at 80% of line 5.1</t>
  </si>
  <si>
    <t>SK - SAID</t>
  </si>
  <si>
    <t>see SA 13-14 sheet</t>
  </si>
  <si>
    <t>SA for disabled + IAPD - see SA 13-14 sheet</t>
  </si>
  <si>
    <t>BC data estimated based on population distribution (13%)</t>
  </si>
  <si>
    <t>Unpublished data.  Received from Aboriginal Affairs and Northern Development. Estimated at 57% of total</t>
  </si>
  <si>
    <t>see SA 13-14 sheet - represents the Barriers to Full Employment component of Income Support</t>
  </si>
  <si>
    <t>59% of 2013-14 estimate</t>
  </si>
  <si>
    <t>Estimated at 46% of 59% of Atlantic Region total based on 13-14 estimate</t>
  </si>
  <si>
    <t>Estimated at 52% of 55% of Atlantic Region total based on 13-14 estimate</t>
  </si>
  <si>
    <t xml:space="preserve">Estimated at 59% of Quebec  Region total based on 13-14 estimate </t>
  </si>
  <si>
    <t>See SA sheet 13-14</t>
  </si>
  <si>
    <t xml:space="preserve">Report on Program Expenditures &amp; Revenue of CRF, 2013-14 - see page 141,   </t>
  </si>
  <si>
    <t xml:space="preserve">estimated at 75% of line 5.1 </t>
  </si>
  <si>
    <t xml:space="preserve">            - TEA</t>
  </si>
  <si>
    <t>Overall percentage of combined SAP and TEA</t>
  </si>
  <si>
    <t xml:space="preserve">As of January 2014 the province paid 88.6% of OW.  See http://www.mcss.gov.on.ca/documents/en/mcss/social/directives/ow/1103.pdf </t>
  </si>
  <si>
    <t>OW amounts reported have been allocated at 88.6% provincial and 11.4% municipal.  ODSP amounts in Public Accounts represent 100% of spending</t>
  </si>
  <si>
    <t xml:space="preserve">        TEA</t>
  </si>
  <si>
    <t xml:space="preserve">estimated at 65% of line 5.1   </t>
  </si>
  <si>
    <t>Population estimates as of Sept. 29, 2015</t>
  </si>
  <si>
    <t>Population estimates as of September 29, 2015</t>
  </si>
  <si>
    <t>Population estimates as of September 20, 2015</t>
  </si>
  <si>
    <t>Income Assistance for the Disabled (IAD) &amp; FN SA and SAID</t>
  </si>
  <si>
    <t>Total Income Support for the Disabled excl. IAD &amp; FN SA and SAID</t>
  </si>
  <si>
    <t>Income Asst. And SAID</t>
  </si>
  <si>
    <t>PER CAPITA COMPARISON BY PROVINCE, 2005-06 AND 2013-14</t>
  </si>
  <si>
    <t>(based on population estimates for July 2005 and 2013)</t>
  </si>
  <si>
    <t>Sources:</t>
  </si>
  <si>
    <t>- CANSIM Table 111-0007 for EI data and total earnings (Neighbourhood income and demographics, taxfilers and dependents with incoem by source of income</t>
  </si>
  <si>
    <t>- CANSIM Table 051-0001, Estimates of population, by age group and sex for July 1, Canada, provinces and territories</t>
  </si>
  <si>
    <t xml:space="preserve"> All checked Oct. 27, 2015</t>
  </si>
  <si>
    <t>4 PROVINCES TO 2013-14</t>
  </si>
  <si>
    <r>
      <t xml:space="preserve">This large file contains expenditure data on the major federal, provincial and third sector programs that provide income support to persons with disabilities.  Data are available by year from 2005 to 2013.  This is an </t>
    </r>
    <r>
      <rPr>
        <i/>
        <sz val="11"/>
        <rFont val="Georgia"/>
        <family val="1"/>
      </rPr>
      <t xml:space="preserve">evergreen </t>
    </r>
    <r>
      <rPr>
        <sz val="11"/>
        <rFont val="Georgia"/>
        <family val="1"/>
      </rPr>
      <t xml:space="preserve">file and is updated regularly.  </t>
    </r>
  </si>
  <si>
    <t>The programs covered include:</t>
  </si>
  <si>
    <r>
      <t>·</t>
    </r>
    <r>
      <rPr>
        <sz val="7"/>
        <rFont val="Times New Roman"/>
        <family val="1"/>
      </rPr>
      <t xml:space="preserve">         </t>
    </r>
    <r>
      <rPr>
        <sz val="11"/>
        <rFont val="Georgia"/>
        <family val="1"/>
      </rPr>
      <t xml:space="preserve">Social Assistance, </t>
    </r>
  </si>
  <si>
    <r>
      <t>·</t>
    </r>
    <r>
      <rPr>
        <sz val="7"/>
        <rFont val="Times New Roman"/>
        <family val="1"/>
      </rPr>
      <t xml:space="preserve">         </t>
    </r>
    <r>
      <rPr>
        <sz val="11"/>
        <rFont val="Georgia"/>
        <family val="1"/>
      </rPr>
      <t>Canada/Quebec Pension Plan Disability benefits,</t>
    </r>
  </si>
  <si>
    <r>
      <t>·</t>
    </r>
    <r>
      <rPr>
        <sz val="7"/>
        <rFont val="Times New Roman"/>
        <family val="1"/>
      </rPr>
      <t xml:space="preserve">         </t>
    </r>
    <r>
      <rPr>
        <sz val="11"/>
        <rFont val="Georgia"/>
        <family val="1"/>
      </rPr>
      <t xml:space="preserve"> Employment Insurance Sickness benefits, </t>
    </r>
  </si>
  <si>
    <r>
      <t>·</t>
    </r>
    <r>
      <rPr>
        <sz val="7"/>
        <rFont val="Times New Roman"/>
        <family val="1"/>
      </rPr>
      <t xml:space="preserve">         </t>
    </r>
    <r>
      <rPr>
        <sz val="11"/>
        <rFont val="Georgia"/>
        <family val="1"/>
      </rPr>
      <t xml:space="preserve">Veterans Disability Benefits and Awards, </t>
    </r>
  </si>
  <si>
    <r>
      <t>·</t>
    </r>
    <r>
      <rPr>
        <sz val="7"/>
        <rFont val="Times New Roman"/>
        <family val="1"/>
      </rPr>
      <t xml:space="preserve">         </t>
    </r>
    <r>
      <rPr>
        <sz val="11"/>
        <rFont val="Georgia"/>
        <family val="1"/>
      </rPr>
      <t xml:space="preserve">Workers' Compensation benefits, </t>
    </r>
  </si>
  <si>
    <r>
      <t>·</t>
    </r>
    <r>
      <rPr>
        <sz val="7"/>
        <rFont val="Times New Roman"/>
        <family val="1"/>
      </rPr>
      <t xml:space="preserve">         </t>
    </r>
    <r>
      <rPr>
        <sz val="11"/>
        <rFont val="Georgia"/>
        <family val="1"/>
      </rPr>
      <t xml:space="preserve">private long-term and short-term disability benefits; and </t>
    </r>
  </si>
  <si>
    <r>
      <t>·</t>
    </r>
    <r>
      <rPr>
        <sz val="7"/>
        <rFont val="Times New Roman"/>
        <family val="1"/>
      </rPr>
      <t xml:space="preserve">         </t>
    </r>
    <r>
      <rPr>
        <sz val="11"/>
        <rFont val="Georgia"/>
        <family val="1"/>
      </rPr>
      <t xml:space="preserve">Federal tax credits for persons with disabilities.  </t>
    </r>
  </si>
  <si>
    <t xml:space="preserve">Most data represent direct payments to individuals and families:  administrative costs and in kind benefits are excluded.  </t>
  </si>
  <si>
    <t xml:space="preserve">There are multiple spreadsheets for each jurisdiction and Canada for each year, including rollups over time.  The spreadsheets for each jurisdiction give the sources for the data.  There are pie charts and bar charts showing the distribution of benefits and changes in expenditures that have occurred over time.  </t>
  </si>
  <si>
    <t>The file also includes data on Employment Insurance usage across the country.  One series looks at the ratio of EI income recipients to employment income earners by jurisdiction.  Another looks at EI per capita costs by province.</t>
  </si>
  <si>
    <t xml:space="preserve">Finally, there are tables and charts showing per capita spending on all disability programs, and then by the primary program areas, by province.  </t>
  </si>
  <si>
    <t>Excel File on Disability Spending in Canada and the Provinces: 2013^</t>
  </si>
  <si>
    <t xml:space="preserve">^N.B. This data is being provided free of charge. Users of the data are asked to cite the source as John Stapleton, Anne Tweddle, Metcalf Foundation and the Centre for Research on Work Disability Policy. </t>
  </si>
</sst>
</file>

<file path=xl/styles.xml><?xml version="1.0" encoding="utf-8"?>
<styleSheet xmlns="http://schemas.openxmlformats.org/spreadsheetml/2006/main">
  <numFmts count="6">
    <numFmt numFmtId="6" formatCode="&quot;$&quot;#,##0;[Red]\-&quot;$&quot;#,##0"/>
    <numFmt numFmtId="164" formatCode="#,##0.0"/>
    <numFmt numFmtId="165" formatCode="0.0"/>
    <numFmt numFmtId="166" formatCode="0.0%"/>
    <numFmt numFmtId="167" formatCode="&quot;$&quot;#,##0"/>
    <numFmt numFmtId="168" formatCode="&quot;$&quot;#,##0.00"/>
  </numFmts>
  <fonts count="32">
    <font>
      <sz val="10"/>
      <name val="Arial"/>
    </font>
    <font>
      <b/>
      <sz val="10"/>
      <name val="Arial"/>
      <family val="2"/>
    </font>
    <font>
      <b/>
      <i/>
      <sz val="10"/>
      <name val="Arial"/>
      <family val="2"/>
    </font>
    <font>
      <b/>
      <sz val="12"/>
      <name val="Arial"/>
      <family val="2"/>
    </font>
    <font>
      <sz val="10"/>
      <name val="Arial"/>
      <family val="2"/>
    </font>
    <font>
      <sz val="10"/>
      <name val="Courier"/>
      <family val="3"/>
    </font>
    <font>
      <i/>
      <sz val="10"/>
      <name val="Arial"/>
      <family val="2"/>
    </font>
    <font>
      <b/>
      <i/>
      <sz val="12"/>
      <name val="Arial"/>
      <family val="2"/>
    </font>
    <font>
      <sz val="10"/>
      <color rgb="FFFF0000"/>
      <name val="Arial"/>
      <family val="2"/>
    </font>
    <font>
      <b/>
      <i/>
      <sz val="12"/>
      <color rgb="FFFF0000"/>
      <name val="Arial"/>
      <family val="2"/>
    </font>
    <font>
      <i/>
      <sz val="10"/>
      <color rgb="FFFF0000"/>
      <name val="Arial"/>
      <family val="2"/>
    </font>
    <font>
      <b/>
      <i/>
      <sz val="10"/>
      <color rgb="FFFF0000"/>
      <name val="Arial"/>
      <family val="2"/>
    </font>
    <font>
      <u/>
      <sz val="10"/>
      <color theme="10"/>
      <name val="Arial"/>
      <family val="2"/>
    </font>
    <font>
      <sz val="10"/>
      <color theme="10"/>
      <name val="Arial"/>
      <family val="2"/>
    </font>
    <font>
      <b/>
      <sz val="10"/>
      <color rgb="FFFF0000"/>
      <name val="Arial"/>
      <family val="2"/>
    </font>
    <font>
      <i/>
      <sz val="12"/>
      <name val="Arial"/>
      <family val="2"/>
    </font>
    <font>
      <vertAlign val="superscript"/>
      <sz val="12"/>
      <name val="Arial"/>
      <family val="2"/>
    </font>
    <font>
      <sz val="12"/>
      <name val="Arial"/>
      <family val="2"/>
    </font>
    <font>
      <b/>
      <sz val="13"/>
      <name val="Arial"/>
      <family val="2"/>
    </font>
    <font>
      <sz val="13"/>
      <name val="Arial"/>
      <family val="2"/>
    </font>
    <font>
      <b/>
      <sz val="14"/>
      <color rgb="FFFF0000"/>
      <name val="Arial"/>
      <family val="2"/>
    </font>
    <font>
      <sz val="8"/>
      <color indexed="81"/>
      <name val="Tahoma"/>
      <family val="2"/>
    </font>
    <font>
      <b/>
      <sz val="8"/>
      <color indexed="81"/>
      <name val="Tahoma"/>
      <family val="2"/>
    </font>
    <font>
      <b/>
      <sz val="14"/>
      <name val="Arial"/>
      <family val="2"/>
    </font>
    <font>
      <sz val="10"/>
      <color theme="4"/>
      <name val="Arial"/>
      <family val="2"/>
    </font>
    <font>
      <b/>
      <sz val="16"/>
      <name val="Arial"/>
      <family val="2"/>
    </font>
    <font>
      <b/>
      <sz val="11"/>
      <name val="Georgia"/>
      <family val="1"/>
    </font>
    <font>
      <sz val="11"/>
      <name val="Georgia"/>
      <family val="1"/>
    </font>
    <font>
      <i/>
      <sz val="11"/>
      <name val="Georgia"/>
      <family val="1"/>
    </font>
    <font>
      <sz val="11"/>
      <name val="Symbol"/>
      <family val="1"/>
      <charset val="2"/>
    </font>
    <font>
      <sz val="7"/>
      <name val="Times New Roman"/>
      <family val="1"/>
    </font>
    <font>
      <sz val="11"/>
      <color rgb="FFFF0000"/>
      <name val="Georgia"/>
      <family val="1"/>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8"/>
        <bgColor indexed="64"/>
      </patternFill>
    </fill>
    <fill>
      <patternFill patternType="solid">
        <fgColor theme="6"/>
        <bgColor indexed="64"/>
      </patternFill>
    </fill>
  </fills>
  <borders count="2">
    <border>
      <left/>
      <right/>
      <top/>
      <bottom/>
      <diagonal/>
    </border>
    <border>
      <left/>
      <right/>
      <top/>
      <bottom style="thin">
        <color auto="1"/>
      </bottom>
      <diagonal/>
    </border>
  </borders>
  <cellStyleXfs count="3">
    <xf numFmtId="0" fontId="0" fillId="0" borderId="0"/>
    <xf numFmtId="37" fontId="5" fillId="0" borderId="0"/>
    <xf numFmtId="0" fontId="12" fillId="0" borderId="0" applyNumberFormat="0" applyFill="0" applyBorder="0" applyAlignment="0" applyProtection="0">
      <alignment vertical="top"/>
      <protection locked="0"/>
    </xf>
  </cellStyleXfs>
  <cellXfs count="335">
    <xf numFmtId="0" fontId="0" fillId="0" borderId="0" xfId="0"/>
    <xf numFmtId="0" fontId="1" fillId="0" borderId="0" xfId="0" applyFont="1" applyAlignment="1">
      <alignment horizontal="center"/>
    </xf>
    <xf numFmtId="0" fontId="1" fillId="0" borderId="0" xfId="0" applyFont="1"/>
    <xf numFmtId="0" fontId="2" fillId="0" borderId="0" xfId="0" applyFont="1"/>
    <xf numFmtId="0" fontId="3" fillId="0" borderId="0" xfId="0" applyFont="1"/>
    <xf numFmtId="3" fontId="4" fillId="0" borderId="0" xfId="1" applyNumberFormat="1" applyFont="1" applyAlignment="1" applyProtection="1">
      <alignment horizontal="right"/>
    </xf>
    <xf numFmtId="0" fontId="6" fillId="0" borderId="0" xfId="0" applyFont="1"/>
    <xf numFmtId="10" fontId="0" fillId="0" borderId="0" xfId="0" applyNumberFormat="1"/>
    <xf numFmtId="164" fontId="1" fillId="0" borderId="0" xfId="0" applyNumberFormat="1" applyFont="1"/>
    <xf numFmtId="164" fontId="0" fillId="0" borderId="0" xfId="0" applyNumberFormat="1"/>
    <xf numFmtId="3" fontId="4" fillId="0" borderId="0" xfId="0" applyNumberFormat="1" applyFont="1" applyAlignment="1" applyProtection="1">
      <alignment horizontal="right"/>
    </xf>
    <xf numFmtId="3" fontId="0" fillId="0" borderId="0" xfId="0" applyNumberFormat="1"/>
    <xf numFmtId="16" fontId="1" fillId="0" borderId="0" xfId="0" applyNumberFormat="1" applyFont="1" applyAlignment="1">
      <alignment horizontal="center"/>
    </xf>
    <xf numFmtId="6" fontId="1" fillId="0" borderId="0" xfId="0" applyNumberFormat="1" applyFont="1" applyAlignment="1">
      <alignment horizontal="center"/>
    </xf>
    <xf numFmtId="0" fontId="0" fillId="0" borderId="0" xfId="0" applyAlignment="1">
      <alignment wrapText="1"/>
    </xf>
    <xf numFmtId="10" fontId="0" fillId="0" borderId="0" xfId="0" applyNumberFormat="1" applyAlignment="1">
      <alignment horizontal="left"/>
    </xf>
    <xf numFmtId="164" fontId="1" fillId="0" borderId="0" xfId="0" applyNumberFormat="1" applyFont="1" applyAlignment="1" applyProtection="1">
      <alignment horizontal="right"/>
    </xf>
    <xf numFmtId="164" fontId="3" fillId="0" borderId="0" xfId="0" applyNumberFormat="1" applyFont="1"/>
    <xf numFmtId="0" fontId="7" fillId="0" borderId="0" xfId="0" applyFont="1"/>
    <xf numFmtId="165" fontId="0" fillId="0" borderId="0" xfId="0" applyNumberFormat="1"/>
    <xf numFmtId="165" fontId="1" fillId="0" borderId="0" xfId="0" applyNumberFormat="1" applyFont="1"/>
    <xf numFmtId="164" fontId="2" fillId="0" borderId="0" xfId="0" applyNumberFormat="1" applyFont="1"/>
    <xf numFmtId="0" fontId="0" fillId="0" borderId="0" xfId="0" applyAlignment="1">
      <alignment horizontal="center"/>
    </xf>
    <xf numFmtId="0" fontId="3" fillId="0" borderId="0" xfId="0" applyFont="1" applyAlignment="1">
      <alignment horizontal="center"/>
    </xf>
    <xf numFmtId="0" fontId="1" fillId="0" borderId="0" xfId="0" applyFont="1" applyAlignment="1">
      <alignment horizontal="center" wrapText="1"/>
    </xf>
    <xf numFmtId="164" fontId="4" fillId="0" borderId="0" xfId="0" applyNumberFormat="1" applyFont="1"/>
    <xf numFmtId="15" fontId="6" fillId="0" borderId="0" xfId="0" applyNumberFormat="1" applyFont="1" applyAlignment="1">
      <alignment horizontal="left"/>
    </xf>
    <xf numFmtId="0" fontId="6" fillId="0" borderId="0" xfId="0" applyFont="1" applyAlignment="1">
      <alignment wrapText="1"/>
    </xf>
    <xf numFmtId="164" fontId="3" fillId="3" borderId="0" xfId="0" applyNumberFormat="1" applyFont="1" applyFill="1"/>
    <xf numFmtId="166" fontId="0" fillId="0" borderId="0" xfId="0" applyNumberFormat="1"/>
    <xf numFmtId="0" fontId="8" fillId="0" borderId="0" xfId="0" applyFont="1"/>
    <xf numFmtId="164" fontId="8" fillId="0" borderId="0" xfId="0" applyNumberFormat="1" applyFont="1"/>
    <xf numFmtId="166" fontId="9" fillId="0" borderId="0" xfId="0" applyNumberFormat="1" applyFont="1"/>
    <xf numFmtId="0" fontId="10" fillId="0" borderId="0" xfId="0" applyFont="1"/>
    <xf numFmtId="0" fontId="11" fillId="0" borderId="0" xfId="0" applyFont="1"/>
    <xf numFmtId="164" fontId="0" fillId="0" borderId="0" xfId="0" applyNumberFormat="1" applyAlignment="1">
      <alignment horizontal="right"/>
    </xf>
    <xf numFmtId="164" fontId="1" fillId="0" borderId="0" xfId="0" applyNumberFormat="1" applyFont="1" applyAlignment="1">
      <alignment horizontal="right"/>
    </xf>
    <xf numFmtId="164" fontId="3" fillId="0" borderId="0" xfId="0" applyNumberFormat="1" applyFont="1" applyAlignment="1">
      <alignment horizontal="right"/>
    </xf>
    <xf numFmtId="0" fontId="12" fillId="0" borderId="0" xfId="2" applyAlignment="1" applyProtection="1"/>
    <xf numFmtId="0" fontId="0" fillId="0" borderId="0" xfId="0" applyFill="1"/>
    <xf numFmtId="0" fontId="3" fillId="0" borderId="0" xfId="0" applyFont="1" applyFill="1" applyAlignment="1">
      <alignment horizontal="center"/>
    </xf>
    <xf numFmtId="0" fontId="1" fillId="0" borderId="0" xfId="0" applyFont="1" applyFill="1" applyAlignment="1">
      <alignment horizontal="center"/>
    </xf>
    <xf numFmtId="0" fontId="1" fillId="0" borderId="0" xfId="0" applyFont="1" applyFill="1" applyAlignment="1">
      <alignment horizontal="center" wrapText="1"/>
    </xf>
    <xf numFmtId="0" fontId="0" fillId="0" borderId="0" xfId="0" applyFill="1" applyAlignment="1">
      <alignment wrapText="1"/>
    </xf>
    <xf numFmtId="164" fontId="1" fillId="0" borderId="0" xfId="0" applyNumberFormat="1" applyFont="1" applyFill="1"/>
    <xf numFmtId="164" fontId="0" fillId="0" borderId="0" xfId="0" applyNumberFormat="1" applyFill="1"/>
    <xf numFmtId="164" fontId="4" fillId="0" borderId="0" xfId="0" applyNumberFormat="1" applyFont="1" applyFill="1"/>
    <xf numFmtId="164" fontId="1" fillId="0" borderId="0" xfId="0" applyNumberFormat="1" applyFont="1" applyFill="1" applyAlignment="1" applyProtection="1">
      <alignment horizontal="right"/>
    </xf>
    <xf numFmtId="0" fontId="3" fillId="0" borderId="0" xfId="0" applyFont="1" applyFill="1"/>
    <xf numFmtId="164" fontId="3" fillId="0" borderId="0" xfId="0" applyNumberFormat="1" applyFont="1" applyFill="1"/>
    <xf numFmtId="0" fontId="1" fillId="0" borderId="0" xfId="0" applyFont="1" applyFill="1"/>
    <xf numFmtId="0" fontId="13" fillId="0" borderId="0" xfId="2" applyFont="1" applyAlignment="1" applyProtection="1">
      <alignment horizontal="center"/>
    </xf>
    <xf numFmtId="0" fontId="4" fillId="0" borderId="0" xfId="0" applyFont="1"/>
    <xf numFmtId="0" fontId="14" fillId="0" borderId="0" xfId="0" applyFont="1"/>
    <xf numFmtId="166" fontId="1" fillId="0" borderId="0" xfId="0" applyNumberFormat="1" applyFont="1" applyAlignment="1">
      <alignment horizontal="right"/>
    </xf>
    <xf numFmtId="166" fontId="0" fillId="0" borderId="0" xfId="0" applyNumberFormat="1" applyAlignment="1">
      <alignment horizontal="right"/>
    </xf>
    <xf numFmtId="166" fontId="1" fillId="0" borderId="0" xfId="0" applyNumberFormat="1" applyFont="1"/>
    <xf numFmtId="166" fontId="6" fillId="0" borderId="0" xfId="0" applyNumberFormat="1" applyFont="1"/>
    <xf numFmtId="0" fontId="7" fillId="5" borderId="0" xfId="0" applyFont="1" applyFill="1"/>
    <xf numFmtId="164" fontId="7" fillId="5" borderId="0" xfId="0" applyNumberFormat="1" applyFont="1" applyFill="1"/>
    <xf numFmtId="166" fontId="7" fillId="5" borderId="0" xfId="0" applyNumberFormat="1" applyFont="1" applyFill="1"/>
    <xf numFmtId="0" fontId="2" fillId="6" borderId="0" xfId="0" applyFont="1" applyFill="1"/>
    <xf numFmtId="164" fontId="2" fillId="6" borderId="0" xfId="0" applyNumberFormat="1" applyFont="1" applyFill="1"/>
    <xf numFmtId="166" fontId="6" fillId="6" borderId="0" xfId="0" applyNumberFormat="1" applyFont="1" applyFill="1"/>
    <xf numFmtId="0" fontId="3" fillId="6" borderId="0" xfId="0" applyFont="1" applyFill="1"/>
    <xf numFmtId="0" fontId="3" fillId="0" borderId="0" xfId="0" applyFont="1" applyBorder="1" applyAlignment="1">
      <alignment horizontal="center"/>
    </xf>
    <xf numFmtId="0" fontId="3" fillId="0" borderId="1" xfId="0" applyFont="1" applyBorder="1" applyAlignment="1">
      <alignment horizontal="center"/>
    </xf>
    <xf numFmtId="0" fontId="3" fillId="0" borderId="1" xfId="0" applyFont="1" applyBorder="1"/>
    <xf numFmtId="0" fontId="3" fillId="0" borderId="1" xfId="0" applyFont="1" applyFill="1" applyBorder="1" applyAlignment="1">
      <alignment horizontal="center"/>
    </xf>
    <xf numFmtId="0" fontId="18" fillId="0" borderId="0" xfId="0" applyFont="1"/>
    <xf numFmtId="0" fontId="19" fillId="0" borderId="0" xfId="0" applyFont="1"/>
    <xf numFmtId="0" fontId="3" fillId="7" borderId="0" xfId="0" applyFont="1" applyFill="1" applyAlignment="1">
      <alignment wrapText="1"/>
    </xf>
    <xf numFmtId="0" fontId="16" fillId="0" borderId="0" xfId="0" applyFont="1"/>
    <xf numFmtId="164" fontId="1" fillId="6" borderId="0" xfId="0" applyNumberFormat="1" applyFont="1" applyFill="1" applyAlignment="1">
      <alignment horizontal="right"/>
    </xf>
    <xf numFmtId="0" fontId="0" fillId="6" borderId="0" xfId="0" applyFill="1"/>
    <xf numFmtId="0" fontId="0" fillId="0" borderId="0" xfId="0" applyAlignment="1"/>
    <xf numFmtId="164" fontId="1" fillId="0" borderId="0" xfId="0" applyNumberFormat="1" applyFont="1" applyAlignment="1"/>
    <xf numFmtId="164" fontId="0" fillId="0" borderId="0" xfId="0" applyNumberFormat="1" applyAlignment="1"/>
    <xf numFmtId="164" fontId="4" fillId="0" borderId="0" xfId="0" applyNumberFormat="1" applyFont="1" applyAlignment="1"/>
    <xf numFmtId="0" fontId="3" fillId="0" borderId="0" xfId="0" applyFont="1" applyAlignment="1"/>
    <xf numFmtId="164" fontId="3" fillId="0" borderId="0" xfId="0" applyNumberFormat="1" applyFont="1" applyAlignment="1"/>
    <xf numFmtId="0" fontId="1" fillId="0" borderId="0" xfId="0" applyFont="1" applyAlignment="1"/>
    <xf numFmtId="164" fontId="3" fillId="0" borderId="0" xfId="0" applyNumberFormat="1" applyFont="1" applyFill="1" applyAlignment="1"/>
    <xf numFmtId="0" fontId="7" fillId="0" borderId="0" xfId="0" applyFont="1" applyAlignment="1"/>
    <xf numFmtId="4" fontId="0" fillId="0" borderId="0" xfId="0" applyNumberFormat="1" applyAlignment="1"/>
    <xf numFmtId="0" fontId="2" fillId="0" borderId="0" xfId="0" applyFont="1" applyAlignment="1"/>
    <xf numFmtId="0" fontId="0" fillId="4" borderId="0" xfId="0" applyFill="1" applyAlignment="1"/>
    <xf numFmtId="4" fontId="0" fillId="4" borderId="0" xfId="0" applyNumberFormat="1" applyFill="1" applyAlignment="1"/>
    <xf numFmtId="10" fontId="0" fillId="4" borderId="0" xfId="0" applyNumberFormat="1" applyFill="1" applyAlignment="1">
      <alignment horizontal="left"/>
    </xf>
    <xf numFmtId="0" fontId="0" fillId="4" borderId="0" xfId="0" applyFill="1" applyAlignment="1">
      <alignment horizontal="left"/>
    </xf>
    <xf numFmtId="164" fontId="6" fillId="0" borderId="0" xfId="0" applyNumberFormat="1" applyFont="1"/>
    <xf numFmtId="0" fontId="11" fillId="0" borderId="0" xfId="0" applyFont="1" applyAlignment="1">
      <alignment horizontal="right"/>
    </xf>
    <xf numFmtId="0" fontId="8" fillId="0" borderId="0" xfId="0" applyFont="1" applyAlignment="1">
      <alignment wrapText="1"/>
    </xf>
    <xf numFmtId="0" fontId="7" fillId="7" borderId="0" xfId="0" applyFont="1" applyFill="1" applyAlignment="1">
      <alignment wrapText="1"/>
    </xf>
    <xf numFmtId="164" fontId="7" fillId="7" borderId="0" xfId="0" applyNumberFormat="1" applyFont="1" applyFill="1"/>
    <xf numFmtId="166" fontId="4" fillId="6" borderId="0" xfId="0" applyNumberFormat="1" applyFont="1" applyFill="1"/>
    <xf numFmtId="166" fontId="4" fillId="0" borderId="0" xfId="0" applyNumberFormat="1" applyFont="1"/>
    <xf numFmtId="166" fontId="15" fillId="7" borderId="0" xfId="0" applyNumberFormat="1" applyFont="1" applyFill="1"/>
    <xf numFmtId="166" fontId="4" fillId="6" borderId="0" xfId="0" applyNumberFormat="1" applyFont="1" applyFill="1" applyAlignment="1">
      <alignment horizontal="right"/>
    </xf>
    <xf numFmtId="166" fontId="4" fillId="0" borderId="0" xfId="0" applyNumberFormat="1" applyFont="1" applyAlignment="1">
      <alignment horizontal="right"/>
    </xf>
    <xf numFmtId="0" fontId="3" fillId="0" borderId="0" xfId="0" applyFont="1" applyAlignment="1">
      <alignment wrapText="1"/>
    </xf>
    <xf numFmtId="0" fontId="12" fillId="2" borderId="0" xfId="2" applyFill="1" applyAlignment="1" applyProtection="1"/>
    <xf numFmtId="164" fontId="0" fillId="3" borderId="0" xfId="0" applyNumberFormat="1" applyFill="1"/>
    <xf numFmtId="0" fontId="0" fillId="3" borderId="0" xfId="0" applyFill="1"/>
    <xf numFmtId="164" fontId="2" fillId="0" borderId="0" xfId="0" applyNumberFormat="1" applyFont="1" applyFill="1"/>
    <xf numFmtId="164" fontId="4" fillId="0" borderId="0" xfId="0" applyNumberFormat="1" applyFont="1" applyFill="1" applyAlignment="1">
      <alignment horizontal="right"/>
    </xf>
    <xf numFmtId="0" fontId="4" fillId="0" borderId="0" xfId="0" applyFont="1" applyFill="1"/>
    <xf numFmtId="0" fontId="1" fillId="3" borderId="0" xfId="0" applyFont="1" applyFill="1"/>
    <xf numFmtId="0" fontId="20" fillId="0" borderId="0" xfId="0" applyFont="1"/>
    <xf numFmtId="0" fontId="0" fillId="3" borderId="0" xfId="0" applyFill="1" applyAlignment="1">
      <alignment horizontal="center"/>
    </xf>
    <xf numFmtId="0" fontId="12" fillId="3" borderId="0" xfId="2" applyFill="1" applyAlignment="1" applyProtection="1"/>
    <xf numFmtId="166" fontId="0" fillId="3" borderId="0" xfId="0" applyNumberFormat="1" applyFill="1"/>
    <xf numFmtId="164" fontId="2" fillId="3" borderId="0" xfId="0" applyNumberFormat="1" applyFont="1" applyFill="1"/>
    <xf numFmtId="166" fontId="6" fillId="3" borderId="0" xfId="0" applyNumberFormat="1" applyFont="1" applyFill="1"/>
    <xf numFmtId="164" fontId="4" fillId="3" borderId="0" xfId="0" applyNumberFormat="1" applyFont="1" applyFill="1"/>
    <xf numFmtId="0" fontId="2" fillId="3" borderId="0" xfId="0" applyFont="1" applyFill="1"/>
    <xf numFmtId="0" fontId="0" fillId="0" borderId="0" xfId="0" applyAlignment="1">
      <alignment horizontal="left"/>
    </xf>
    <xf numFmtId="164" fontId="7" fillId="0" borderId="0" xfId="0" applyNumberFormat="1" applyFont="1" applyFill="1"/>
    <xf numFmtId="166" fontId="7" fillId="0" borderId="0" xfId="0" applyNumberFormat="1" applyFont="1" applyFill="1"/>
    <xf numFmtId="0" fontId="1" fillId="3" borderId="0" xfId="0" applyFont="1" applyFill="1" applyAlignment="1">
      <alignment horizontal="center"/>
    </xf>
    <xf numFmtId="0" fontId="4" fillId="3" borderId="0" xfId="0" applyFont="1" applyFill="1"/>
    <xf numFmtId="164" fontId="14" fillId="3" borderId="0" xfId="0" applyNumberFormat="1" applyFont="1" applyFill="1"/>
    <xf numFmtId="164" fontId="1" fillId="3" borderId="0" xfId="0" applyNumberFormat="1" applyFont="1" applyFill="1"/>
    <xf numFmtId="166" fontId="3" fillId="0" borderId="0" xfId="0" applyNumberFormat="1" applyFont="1"/>
    <xf numFmtId="0" fontId="0" fillId="3" borderId="0" xfId="0" applyFill="1" applyAlignment="1">
      <alignment wrapText="1"/>
    </xf>
    <xf numFmtId="0" fontId="4" fillId="3" borderId="0" xfId="0" applyFont="1" applyFill="1" applyAlignment="1">
      <alignment wrapText="1"/>
    </xf>
    <xf numFmtId="165" fontId="0" fillId="3" borderId="0" xfId="0" applyNumberFormat="1" applyFill="1"/>
    <xf numFmtId="165" fontId="1" fillId="3" borderId="0" xfId="0" applyNumberFormat="1" applyFont="1" applyFill="1"/>
    <xf numFmtId="164" fontId="1" fillId="3" borderId="0" xfId="0" applyNumberFormat="1" applyFont="1" applyFill="1" applyAlignment="1" applyProtection="1">
      <alignment horizontal="right"/>
    </xf>
    <xf numFmtId="166" fontId="4" fillId="0" borderId="0" xfId="0" applyNumberFormat="1" applyFont="1" applyFill="1"/>
    <xf numFmtId="0" fontId="1" fillId="0" borderId="0" xfId="0" applyFont="1" applyAlignment="1">
      <alignment wrapText="1"/>
    </xf>
    <xf numFmtId="166" fontId="0" fillId="6" borderId="0" xfId="0" applyNumberFormat="1" applyFill="1"/>
    <xf numFmtId="164" fontId="1" fillId="6" borderId="0" xfId="0" applyNumberFormat="1" applyFont="1" applyFill="1" applyAlignment="1">
      <alignment horizontal="left"/>
    </xf>
    <xf numFmtId="164" fontId="0" fillId="0" borderId="0" xfId="0" applyNumberFormat="1" applyAlignment="1">
      <alignment horizontal="left"/>
    </xf>
    <xf numFmtId="0" fontId="0" fillId="0" borderId="0" xfId="0" applyAlignment="1">
      <alignment horizontal="right"/>
    </xf>
    <xf numFmtId="164" fontId="0" fillId="2" borderId="0" xfId="0" applyNumberFormat="1" applyFill="1"/>
    <xf numFmtId="0" fontId="0" fillId="2" borderId="0" xfId="0" applyFill="1"/>
    <xf numFmtId="166" fontId="0" fillId="2" borderId="0" xfId="0" applyNumberFormat="1" applyFill="1"/>
    <xf numFmtId="164" fontId="2" fillId="2" borderId="0" xfId="0" applyNumberFormat="1" applyFont="1" applyFill="1"/>
    <xf numFmtId="164" fontId="3" fillId="2" borderId="0" xfId="0" applyNumberFormat="1" applyFont="1" applyFill="1"/>
    <xf numFmtId="164" fontId="0" fillId="2" borderId="0" xfId="0" applyNumberFormat="1" applyFill="1" applyAlignment="1">
      <alignment horizontal="right"/>
    </xf>
    <xf numFmtId="164" fontId="1" fillId="2" borderId="0" xfId="0" applyNumberFormat="1" applyFont="1" applyFill="1" applyAlignment="1">
      <alignment horizontal="right"/>
    </xf>
    <xf numFmtId="0" fontId="1" fillId="2" borderId="0" xfId="0" applyFont="1" applyFill="1"/>
    <xf numFmtId="164" fontId="4" fillId="2" borderId="0" xfId="0" applyNumberFormat="1" applyFont="1" applyFill="1"/>
    <xf numFmtId="166" fontId="0" fillId="0" borderId="0" xfId="0" applyNumberFormat="1" applyFill="1"/>
    <xf numFmtId="0" fontId="12" fillId="0" borderId="0" xfId="2" applyFill="1" applyAlignment="1" applyProtection="1"/>
    <xf numFmtId="166" fontId="6" fillId="2" borderId="0" xfId="0" applyNumberFormat="1" applyFont="1" applyFill="1"/>
    <xf numFmtId="164" fontId="7" fillId="2" borderId="0" xfId="0" applyNumberFormat="1" applyFont="1" applyFill="1"/>
    <xf numFmtId="166" fontId="7" fillId="2" borderId="0" xfId="0" applyNumberFormat="1" applyFont="1" applyFill="1"/>
    <xf numFmtId="0" fontId="4" fillId="2" borderId="0" xfId="0" applyFont="1" applyFill="1"/>
    <xf numFmtId="0" fontId="0" fillId="0" borderId="0" xfId="0" applyFill="1" applyAlignment="1"/>
    <xf numFmtId="0" fontId="0" fillId="3" borderId="0" xfId="0" applyFill="1" applyAlignment="1"/>
    <xf numFmtId="0" fontId="3" fillId="2" borderId="0" xfId="0" applyFont="1" applyFill="1"/>
    <xf numFmtId="0" fontId="0" fillId="8" borderId="0" xfId="0" applyFill="1"/>
    <xf numFmtId="164" fontId="0" fillId="8" borderId="0" xfId="0" applyNumberFormat="1" applyFill="1"/>
    <xf numFmtId="166" fontId="0" fillId="8" borderId="0" xfId="0" applyNumberFormat="1" applyFill="1"/>
    <xf numFmtId="164" fontId="0" fillId="3" borderId="0" xfId="0" applyNumberFormat="1" applyFill="1" applyAlignment="1">
      <alignment horizontal="right"/>
    </xf>
    <xf numFmtId="164" fontId="1" fillId="3" borderId="0" xfId="0" applyNumberFormat="1" applyFont="1" applyFill="1" applyAlignment="1">
      <alignment horizontal="right"/>
    </xf>
    <xf numFmtId="166" fontId="1" fillId="3" borderId="0" xfId="0" applyNumberFormat="1" applyFont="1" applyFill="1"/>
    <xf numFmtId="164" fontId="3" fillId="3" borderId="0" xfId="0" applyNumberFormat="1" applyFont="1" applyFill="1" applyAlignment="1">
      <alignment horizontal="right"/>
    </xf>
    <xf numFmtId="16" fontId="3" fillId="0" borderId="0" xfId="0" quotePrefix="1" applyNumberFormat="1" applyFont="1"/>
    <xf numFmtId="167" fontId="0" fillId="0" borderId="0" xfId="0" applyNumberFormat="1"/>
    <xf numFmtId="166" fontId="10" fillId="0" borderId="0" xfId="0" applyNumberFormat="1" applyFont="1"/>
    <xf numFmtId="166" fontId="4" fillId="3" borderId="0" xfId="0" applyNumberFormat="1" applyFont="1" applyFill="1"/>
    <xf numFmtId="164" fontId="7" fillId="3" borderId="0" xfId="0" applyNumberFormat="1" applyFont="1" applyFill="1"/>
    <xf numFmtId="166" fontId="15" fillId="3" borderId="0" xfId="0" applyNumberFormat="1" applyFont="1" applyFill="1"/>
    <xf numFmtId="16" fontId="1" fillId="0" borderId="0" xfId="0" quotePrefix="1" applyNumberFormat="1" applyFont="1" applyAlignment="1">
      <alignment horizontal="right"/>
    </xf>
    <xf numFmtId="0" fontId="1" fillId="0" borderId="0" xfId="0" applyFont="1" applyAlignment="1">
      <alignment horizontal="right"/>
    </xf>
    <xf numFmtId="166" fontId="0" fillId="0" borderId="0" xfId="0" applyNumberFormat="1" applyAlignment="1">
      <alignment horizontal="center"/>
    </xf>
    <xf numFmtId="0" fontId="1" fillId="6" borderId="0" xfId="0" applyFont="1" applyFill="1"/>
    <xf numFmtId="17" fontId="4" fillId="0" borderId="0" xfId="0" quotePrefix="1" applyNumberFormat="1" applyFont="1"/>
    <xf numFmtId="10" fontId="8" fillId="0" borderId="0" xfId="0" applyNumberFormat="1" applyFont="1"/>
    <xf numFmtId="166" fontId="8" fillId="0" borderId="0" xfId="0" applyNumberFormat="1" applyFont="1"/>
    <xf numFmtId="0" fontId="4" fillId="0" borderId="0" xfId="0" applyFont="1" applyAlignment="1">
      <alignment horizontal="left"/>
    </xf>
    <xf numFmtId="164" fontId="1" fillId="8" borderId="0" xfId="0" applyNumberFormat="1" applyFont="1" applyFill="1"/>
    <xf numFmtId="0" fontId="0" fillId="8" borderId="0" xfId="0" applyFill="1" applyAlignment="1">
      <alignment wrapText="1"/>
    </xf>
    <xf numFmtId="164" fontId="3" fillId="8" borderId="0" xfId="0" applyNumberFormat="1" applyFont="1" applyFill="1"/>
    <xf numFmtId="164" fontId="0" fillId="8" borderId="0" xfId="0" applyNumberFormat="1" applyFill="1" applyAlignment="1"/>
    <xf numFmtId="164" fontId="1" fillId="8" borderId="0" xfId="0" applyNumberFormat="1" applyFont="1" applyFill="1" applyAlignment="1"/>
    <xf numFmtId="0" fontId="0" fillId="8" borderId="0" xfId="0" applyFill="1" applyAlignment="1"/>
    <xf numFmtId="164" fontId="3" fillId="8" borderId="0" xfId="0" applyNumberFormat="1" applyFont="1" applyFill="1" applyAlignment="1"/>
    <xf numFmtId="164" fontId="4" fillId="8" borderId="0" xfId="0" applyNumberFormat="1" applyFont="1" applyFill="1"/>
    <xf numFmtId="164" fontId="8" fillId="8" borderId="0" xfId="0" applyNumberFormat="1" applyFont="1" applyFill="1"/>
    <xf numFmtId="164" fontId="2" fillId="8" borderId="0" xfId="0" applyNumberFormat="1" applyFont="1" applyFill="1"/>
    <xf numFmtId="0" fontId="8" fillId="3" borderId="0" xfId="0" applyFont="1" applyFill="1"/>
    <xf numFmtId="164" fontId="8" fillId="3" borderId="0" xfId="0" applyNumberFormat="1" applyFont="1" applyFill="1"/>
    <xf numFmtId="10" fontId="0" fillId="8" borderId="0" xfId="0" applyNumberFormat="1" applyFill="1" applyAlignment="1">
      <alignment horizontal="left"/>
    </xf>
    <xf numFmtId="4" fontId="0" fillId="8" borderId="0" xfId="0" applyNumberFormat="1" applyFill="1" applyAlignment="1"/>
    <xf numFmtId="165" fontId="0" fillId="8" borderId="0" xfId="0" applyNumberFormat="1" applyFill="1"/>
    <xf numFmtId="166" fontId="9" fillId="8" borderId="0" xfId="0" applyNumberFormat="1" applyFont="1" applyFill="1"/>
    <xf numFmtId="165" fontId="1" fillId="8" borderId="0" xfId="0" applyNumberFormat="1" applyFont="1" applyFill="1"/>
    <xf numFmtId="4" fontId="3" fillId="8" borderId="0" xfId="0" applyNumberFormat="1" applyFont="1" applyFill="1" applyAlignment="1"/>
    <xf numFmtId="0" fontId="0" fillId="8" borderId="0" xfId="0" applyFill="1" applyAlignment="1">
      <alignment horizontal="center"/>
    </xf>
    <xf numFmtId="0" fontId="0" fillId="8" borderId="0" xfId="0" applyFill="1" applyAlignment="1">
      <alignment horizontal="left"/>
    </xf>
    <xf numFmtId="0" fontId="6" fillId="8" borderId="0" xfId="0" applyFont="1" applyFill="1"/>
    <xf numFmtId="166" fontId="6" fillId="8" borderId="0" xfId="0" applyNumberFormat="1" applyFont="1" applyFill="1"/>
    <xf numFmtId="166" fontId="15" fillId="8" borderId="0" xfId="0" applyNumberFormat="1" applyFont="1" applyFill="1"/>
    <xf numFmtId="166" fontId="17" fillId="8" borderId="0" xfId="0" applyNumberFormat="1" applyFont="1" applyFill="1"/>
    <xf numFmtId="0" fontId="0" fillId="8" borderId="0" xfId="0" quotePrefix="1" applyFill="1"/>
    <xf numFmtId="164" fontId="0" fillId="8" borderId="0" xfId="0" applyNumberFormat="1" applyFill="1" applyAlignment="1">
      <alignment horizontal="right"/>
    </xf>
    <xf numFmtId="0" fontId="2" fillId="8" borderId="0" xfId="0" applyFont="1" applyFill="1"/>
    <xf numFmtId="164" fontId="1" fillId="8" borderId="0" xfId="0" applyNumberFormat="1" applyFont="1" applyFill="1" applyAlignment="1">
      <alignment horizontal="right"/>
    </xf>
    <xf numFmtId="164" fontId="3" fillId="8" borderId="0" xfId="0" applyNumberFormat="1" applyFont="1" applyFill="1" applyAlignment="1">
      <alignment horizontal="right"/>
    </xf>
    <xf numFmtId="164" fontId="14" fillId="8" borderId="0" xfId="0" applyNumberFormat="1" applyFont="1" applyFill="1" applyAlignment="1">
      <alignment horizontal="right"/>
    </xf>
    <xf numFmtId="0" fontId="3" fillId="3" borderId="0" xfId="0" applyFont="1" applyFill="1"/>
    <xf numFmtId="0" fontId="1" fillId="3" borderId="0" xfId="0" applyFont="1" applyFill="1" applyAlignment="1">
      <alignment wrapText="1"/>
    </xf>
    <xf numFmtId="0" fontId="8" fillId="4" borderId="0" xfId="0" applyFont="1" applyFill="1" applyAlignment="1"/>
    <xf numFmtId="4" fontId="8" fillId="4" borderId="0" xfId="0" applyNumberFormat="1" applyFont="1" applyFill="1" applyAlignment="1"/>
    <xf numFmtId="166" fontId="8" fillId="4" borderId="0" xfId="0" applyNumberFormat="1" applyFont="1" applyFill="1" applyAlignment="1">
      <alignment horizontal="left"/>
    </xf>
    <xf numFmtId="166" fontId="3" fillId="0" borderId="0" xfId="0" applyNumberFormat="1" applyFont="1" applyAlignment="1">
      <alignment horizontal="left"/>
    </xf>
    <xf numFmtId="0" fontId="3" fillId="8" borderId="0" xfId="0" applyFont="1" applyFill="1"/>
    <xf numFmtId="0" fontId="1" fillId="8" borderId="0" xfId="0" applyFont="1" applyFill="1"/>
    <xf numFmtId="0" fontId="20" fillId="8" borderId="0" xfId="0" applyFont="1" applyFill="1"/>
    <xf numFmtId="0" fontId="14" fillId="8" borderId="0" xfId="0" applyFont="1" applyFill="1"/>
    <xf numFmtId="0" fontId="4" fillId="4" borderId="0" xfId="0" applyFont="1" applyFill="1" applyAlignment="1"/>
    <xf numFmtId="4" fontId="8" fillId="8" borderId="0" xfId="0" applyNumberFormat="1" applyFont="1" applyFill="1" applyAlignment="1"/>
    <xf numFmtId="0" fontId="11" fillId="4" borderId="0" xfId="0" applyFont="1" applyFill="1" applyAlignment="1"/>
    <xf numFmtId="0" fontId="4" fillId="8" borderId="0" xfId="0" applyFont="1" applyFill="1"/>
    <xf numFmtId="0" fontId="4" fillId="0" borderId="0" xfId="0" applyFont="1" applyAlignment="1"/>
    <xf numFmtId="0" fontId="1" fillId="2" borderId="0" xfId="0" applyFont="1" applyFill="1" applyAlignment="1">
      <alignment horizontal="center"/>
    </xf>
    <xf numFmtId="0" fontId="4" fillId="8" borderId="0" xfId="0" applyFont="1" applyFill="1" applyAlignment="1">
      <alignment horizontal="center"/>
    </xf>
    <xf numFmtId="164" fontId="4" fillId="8" borderId="0" xfId="0" applyNumberFormat="1" applyFont="1" applyFill="1" applyAlignment="1">
      <alignment horizontal="right"/>
    </xf>
    <xf numFmtId="164" fontId="8" fillId="8" borderId="0" xfId="0" applyNumberFormat="1" applyFont="1" applyFill="1" applyAlignment="1">
      <alignment horizontal="right"/>
    </xf>
    <xf numFmtId="0" fontId="0" fillId="9" borderId="0" xfId="0" applyFill="1"/>
    <xf numFmtId="0" fontId="1" fillId="9" borderId="0" xfId="0" applyFont="1" applyFill="1"/>
    <xf numFmtId="168" fontId="1" fillId="9" borderId="0" xfId="0" applyNumberFormat="1" applyFont="1" applyFill="1"/>
    <xf numFmtId="0" fontId="1" fillId="10" borderId="0" xfId="0" applyFont="1" applyFill="1"/>
    <xf numFmtId="0" fontId="1" fillId="5" borderId="0" xfId="0" applyFont="1" applyFill="1"/>
    <xf numFmtId="166" fontId="1" fillId="9" borderId="0" xfId="0" applyNumberFormat="1" applyFont="1" applyFill="1"/>
    <xf numFmtId="4" fontId="1" fillId="9" borderId="0" xfId="0" applyNumberFormat="1" applyFont="1" applyFill="1"/>
    <xf numFmtId="0" fontId="0" fillId="10" borderId="0" xfId="0" applyFill="1"/>
    <xf numFmtId="3" fontId="1" fillId="5" borderId="0" xfId="0" applyNumberFormat="1" applyFont="1" applyFill="1"/>
    <xf numFmtId="3" fontId="1" fillId="10" borderId="0" xfId="0" applyNumberFormat="1" applyFont="1" applyFill="1"/>
    <xf numFmtId="0" fontId="23" fillId="0" borderId="0" xfId="0" applyFont="1"/>
    <xf numFmtId="0" fontId="4" fillId="0" borderId="0" xfId="0" applyFont="1" applyFill="1" applyAlignment="1">
      <alignment wrapText="1"/>
    </xf>
    <xf numFmtId="0" fontId="0" fillId="5" borderId="0" xfId="0" applyFill="1"/>
    <xf numFmtId="2" fontId="0" fillId="0" borderId="0" xfId="0" applyNumberFormat="1"/>
    <xf numFmtId="2" fontId="0" fillId="0" borderId="0" xfId="0" applyNumberFormat="1" applyFill="1"/>
    <xf numFmtId="166" fontId="1" fillId="0" borderId="0" xfId="0" applyNumberFormat="1" applyFont="1" applyFill="1"/>
    <xf numFmtId="0" fontId="1" fillId="0" borderId="0" xfId="0" applyFont="1"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applyAlignment="1">
      <alignment horizontal="center"/>
    </xf>
    <xf numFmtId="0" fontId="0" fillId="0" borderId="0" xfId="0" applyFill="1" applyAlignment="1">
      <alignment horizontal="left"/>
    </xf>
    <xf numFmtId="0" fontId="1" fillId="0" borderId="0" xfId="0" applyFont="1" applyAlignment="1">
      <alignment horizontal="center" wrapText="1"/>
    </xf>
    <xf numFmtId="0" fontId="1" fillId="0" borderId="0" xfId="0" applyFont="1" applyAlignment="1">
      <alignment horizontal="center"/>
    </xf>
    <xf numFmtId="165" fontId="0" fillId="0" borderId="0" xfId="0" applyNumberFormat="1" applyFill="1"/>
    <xf numFmtId="0" fontId="0" fillId="0" borderId="0" xfId="0" applyFill="1" applyAlignment="1">
      <alignment horizontal="center"/>
    </xf>
    <xf numFmtId="0" fontId="4" fillId="0" borderId="0" xfId="0" applyFont="1" applyFill="1" applyAlignment="1">
      <alignment horizontal="left"/>
    </xf>
    <xf numFmtId="0" fontId="8" fillId="0" borderId="0" xfId="0" applyFont="1" applyFill="1"/>
    <xf numFmtId="164" fontId="10" fillId="0" borderId="0" xfId="0" applyNumberFormat="1" applyFont="1"/>
    <xf numFmtId="0" fontId="0" fillId="0" borderId="0" xfId="0" quotePrefix="1" applyFill="1"/>
    <xf numFmtId="166" fontId="4" fillId="0" borderId="0" xfId="0" quotePrefix="1" applyNumberFormat="1" applyFont="1" applyAlignment="1">
      <alignment horizontal="center"/>
    </xf>
    <xf numFmtId="166" fontId="2" fillId="0" borderId="0" xfId="0" applyNumberFormat="1" applyFont="1" applyFill="1"/>
    <xf numFmtId="164" fontId="4" fillId="0" borderId="0" xfId="0" applyNumberFormat="1" applyFont="1" applyAlignment="1">
      <alignment horizontal="right"/>
    </xf>
    <xf numFmtId="166" fontId="17" fillId="0" borderId="0" xfId="0" applyNumberFormat="1" applyFont="1"/>
    <xf numFmtId="0" fontId="1" fillId="0" borderId="0" xfId="0" applyFont="1" applyAlignment="1">
      <alignment horizontal="center" wrapText="1"/>
    </xf>
    <xf numFmtId="0" fontId="0" fillId="0" borderId="0" xfId="0" applyAlignment="1">
      <alignment horizontal="center"/>
    </xf>
    <xf numFmtId="0" fontId="2" fillId="0" borderId="0" xfId="0" applyFont="1" applyFill="1"/>
    <xf numFmtId="0" fontId="20" fillId="0" borderId="0" xfId="0" applyFont="1" applyFill="1"/>
    <xf numFmtId="0" fontId="14" fillId="0" borderId="0" xfId="0" applyFont="1" applyFill="1"/>
    <xf numFmtId="0" fontId="24" fillId="0" borderId="0" xfId="0" applyFont="1"/>
    <xf numFmtId="0" fontId="4" fillId="0" borderId="0" xfId="0" applyFont="1" applyFill="1" applyAlignment="1"/>
    <xf numFmtId="164" fontId="3" fillId="0" borderId="0" xfId="0" applyNumberFormat="1" applyFont="1" applyFill="1" applyAlignment="1">
      <alignment horizontal="right"/>
    </xf>
    <xf numFmtId="164" fontId="3" fillId="0" borderId="0" xfId="0" applyNumberFormat="1" applyFont="1" applyFill="1" applyAlignment="1">
      <alignment horizontal="left"/>
    </xf>
    <xf numFmtId="164" fontId="17" fillId="0" borderId="0" xfId="0" applyNumberFormat="1" applyFont="1" applyFill="1" applyAlignment="1">
      <alignment horizontal="left"/>
    </xf>
    <xf numFmtId="166" fontId="17" fillId="0" borderId="0" xfId="0" applyNumberFormat="1" applyFont="1" applyFill="1"/>
    <xf numFmtId="164" fontId="0" fillId="0" borderId="0" xfId="0" applyNumberFormat="1" applyFill="1" applyAlignment="1">
      <alignment horizontal="right"/>
    </xf>
    <xf numFmtId="166" fontId="4" fillId="0" borderId="0" xfId="0" applyNumberFormat="1" applyFont="1" applyFill="1" applyAlignment="1">
      <alignment horizontal="right"/>
    </xf>
    <xf numFmtId="0" fontId="16" fillId="0" borderId="0" xfId="0" applyFont="1" applyFill="1"/>
    <xf numFmtId="164" fontId="1" fillId="0" borderId="0" xfId="0" applyNumberFormat="1" applyFont="1" applyFill="1" applyAlignment="1">
      <alignment horizontal="right"/>
    </xf>
    <xf numFmtId="164" fontId="17" fillId="0" borderId="0" xfId="0" applyNumberFormat="1" applyFont="1" applyFill="1"/>
    <xf numFmtId="168" fontId="1" fillId="0" borderId="0" xfId="0" applyNumberFormat="1" applyFont="1" applyFill="1"/>
    <xf numFmtId="10" fontId="0" fillId="0" borderId="0" xfId="0" applyNumberFormat="1" applyFill="1"/>
    <xf numFmtId="0" fontId="0" fillId="0" borderId="0" xfId="0" applyFont="1" applyFill="1"/>
    <xf numFmtId="0" fontId="0" fillId="2" borderId="0" xfId="0" applyFill="1" applyAlignment="1">
      <alignment horizontal="left"/>
    </xf>
    <xf numFmtId="164" fontId="4" fillId="2" borderId="0" xfId="0" applyNumberFormat="1" applyFont="1" applyFill="1" applyAlignment="1">
      <alignment horizontal="right"/>
    </xf>
    <xf numFmtId="164" fontId="3" fillId="2" borderId="0" xfId="0" applyNumberFormat="1" applyFont="1" applyFill="1" applyAlignment="1">
      <alignment horizontal="right"/>
    </xf>
    <xf numFmtId="0" fontId="4" fillId="3" borderId="0" xfId="0" applyFont="1" applyFill="1" applyAlignment="1"/>
    <xf numFmtId="0" fontId="4" fillId="2" borderId="0" xfId="0" applyFont="1" applyFill="1" applyAlignment="1">
      <alignment horizontal="left"/>
    </xf>
    <xf numFmtId="164" fontId="0" fillId="6" borderId="0" xfId="0" applyNumberFormat="1" applyFill="1"/>
    <xf numFmtId="0" fontId="4" fillId="0" borderId="0" xfId="0" applyFont="1" applyAlignment="1">
      <alignment horizontal="center"/>
    </xf>
    <xf numFmtId="0" fontId="0" fillId="2" borderId="0" xfId="0" applyFill="1" applyAlignment="1">
      <alignment horizontal="center"/>
    </xf>
    <xf numFmtId="0" fontId="0" fillId="2" borderId="0" xfId="0" applyFont="1" applyFill="1"/>
    <xf numFmtId="0" fontId="1" fillId="0" borderId="0" xfId="0" applyFont="1" applyAlignment="1">
      <alignment horizontal="center"/>
    </xf>
    <xf numFmtId="0" fontId="0" fillId="0" borderId="0" xfId="0" applyAlignment="1">
      <alignment horizontal="center"/>
    </xf>
    <xf numFmtId="0" fontId="1" fillId="0" borderId="0" xfId="0" applyFont="1" applyAlignment="1">
      <alignment horizontal="center"/>
    </xf>
    <xf numFmtId="0" fontId="0" fillId="0" borderId="0" xfId="0" applyAlignment="1">
      <alignment horizontal="center"/>
    </xf>
    <xf numFmtId="0" fontId="1" fillId="0" borderId="0" xfId="0" applyFont="1" applyAlignment="1">
      <alignment horizontal="center" wrapText="1"/>
    </xf>
    <xf numFmtId="0" fontId="1" fillId="0" borderId="0" xfId="0" applyFont="1" applyAlignment="1">
      <alignment horizontal="center"/>
    </xf>
    <xf numFmtId="0" fontId="3" fillId="0" borderId="0" xfId="0" applyFont="1" applyFill="1" applyAlignment="1">
      <alignment wrapText="1"/>
    </xf>
    <xf numFmtId="164" fontId="0" fillId="0" borderId="0" xfId="0" applyNumberFormat="1" applyAlignment="1">
      <alignment wrapText="1"/>
    </xf>
    <xf numFmtId="17" fontId="4" fillId="0" borderId="0" xfId="0" applyNumberFormat="1" applyFont="1"/>
    <xf numFmtId="0" fontId="4" fillId="8" borderId="0" xfId="0" applyFont="1" applyFill="1" applyAlignment="1">
      <alignment horizontal="left"/>
    </xf>
    <xf numFmtId="0" fontId="11" fillId="0" borderId="0" xfId="0" applyFont="1" applyAlignment="1">
      <alignment horizontal="center"/>
    </xf>
    <xf numFmtId="4" fontId="0" fillId="0" borderId="0" xfId="0" applyNumberFormat="1"/>
    <xf numFmtId="4" fontId="17" fillId="0" borderId="0" xfId="0" applyNumberFormat="1" applyFont="1"/>
    <xf numFmtId="164" fontId="17" fillId="0" borderId="0" xfId="0" applyNumberFormat="1" applyFont="1"/>
    <xf numFmtId="165" fontId="2" fillId="6" borderId="0" xfId="0" applyNumberFormat="1" applyFont="1" applyFill="1"/>
    <xf numFmtId="165" fontId="10" fillId="0" borderId="0" xfId="0" applyNumberFormat="1" applyFont="1"/>
    <xf numFmtId="0" fontId="4" fillId="0" borderId="0" xfId="0" applyFont="1" applyAlignment="1">
      <alignment horizontal="left" wrapText="1"/>
    </xf>
    <xf numFmtId="0" fontId="1" fillId="0" borderId="0" xfId="0" applyFont="1" applyAlignment="1">
      <alignment horizontal="center" wrapText="1"/>
    </xf>
    <xf numFmtId="0" fontId="0" fillId="0" borderId="0" xfId="0" applyAlignment="1">
      <alignment horizontal="center"/>
    </xf>
    <xf numFmtId="0" fontId="2" fillId="8" borderId="0" xfId="0" applyFont="1" applyFill="1" applyAlignment="1">
      <alignment horizontal="left"/>
    </xf>
    <xf numFmtId="0" fontId="1" fillId="8" borderId="0" xfId="0" applyFont="1" applyFill="1" applyAlignment="1">
      <alignment horizontal="left"/>
    </xf>
    <xf numFmtId="0" fontId="4" fillId="0" borderId="0" xfId="0" applyFont="1" applyAlignment="1">
      <alignment wrapText="1"/>
    </xf>
    <xf numFmtId="0" fontId="23" fillId="8" borderId="0" xfId="0" applyFont="1" applyFill="1"/>
    <xf numFmtId="0" fontId="1" fillId="0" borderId="0" xfId="0" applyFont="1" applyAlignment="1">
      <alignment horizontal="center" wrapText="1"/>
    </xf>
    <xf numFmtId="0" fontId="1" fillId="0" borderId="0" xfId="0" applyFont="1" applyAlignment="1">
      <alignment wrapText="1"/>
    </xf>
    <xf numFmtId="165" fontId="8" fillId="0" borderId="0" xfId="0" applyNumberFormat="1" applyFont="1"/>
    <xf numFmtId="164" fontId="11" fillId="0" borderId="0" xfId="0" applyNumberFormat="1" applyFont="1" applyFill="1"/>
    <xf numFmtId="166" fontId="0" fillId="0" borderId="0" xfId="0" applyNumberFormat="1" applyAlignment="1">
      <alignment horizontal="left"/>
    </xf>
    <xf numFmtId="165" fontId="4" fillId="0" borderId="0" xfId="0" applyNumberFormat="1" applyFont="1"/>
    <xf numFmtId="0" fontId="25" fillId="0" borderId="0" xfId="0" applyFont="1" applyFill="1"/>
    <xf numFmtId="166" fontId="3" fillId="0" borderId="0" xfId="0" applyNumberFormat="1" applyFont="1" applyFill="1" applyAlignment="1">
      <alignment horizontal="left"/>
    </xf>
    <xf numFmtId="10" fontId="8" fillId="0" borderId="0" xfId="0" applyNumberFormat="1" applyFont="1" applyAlignment="1">
      <alignment horizontal="left"/>
    </xf>
    <xf numFmtId="166" fontId="8" fillId="0" borderId="0" xfId="0" applyNumberFormat="1" applyFont="1" applyAlignment="1">
      <alignment horizontal="left"/>
    </xf>
    <xf numFmtId="2" fontId="0" fillId="9" borderId="0" xfId="0" applyNumberFormat="1" applyFill="1"/>
    <xf numFmtId="0" fontId="0" fillId="0" borderId="0" xfId="0" quotePrefix="1"/>
    <xf numFmtId="0" fontId="1" fillId="0" borderId="0" xfId="0" applyFont="1" applyAlignment="1">
      <alignment horizontal="center" wrapText="1"/>
    </xf>
    <xf numFmtId="0" fontId="1" fillId="5" borderId="0" xfId="0" applyFont="1" applyFill="1" applyAlignment="1">
      <alignment horizontal="center" wrapText="1"/>
    </xf>
    <xf numFmtId="0" fontId="4" fillId="0" borderId="0" xfId="0" applyFont="1" applyAlignment="1">
      <alignment horizontal="left" wrapText="1"/>
    </xf>
    <xf numFmtId="0" fontId="1" fillId="10" borderId="0" xfId="0" applyFont="1" applyFill="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0" fillId="0" borderId="0" xfId="0" applyAlignment="1">
      <alignment horizontal="center" wrapText="1"/>
    </xf>
    <xf numFmtId="0" fontId="1"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1" fillId="0" borderId="0" xfId="0" applyFont="1" applyAlignment="1"/>
    <xf numFmtId="0" fontId="26" fillId="0" borderId="0" xfId="0" applyFont="1"/>
    <xf numFmtId="0" fontId="27" fillId="0" borderId="0" xfId="0" applyFont="1"/>
    <xf numFmtId="0" fontId="29" fillId="0" borderId="0" xfId="0" applyFont="1" applyAlignment="1">
      <alignment horizontal="left" indent="4"/>
    </xf>
    <xf numFmtId="0" fontId="27" fillId="0" borderId="0" xfId="0" applyFont="1" applyAlignment="1">
      <alignment wrapText="1"/>
    </xf>
    <xf numFmtId="0" fontId="31" fillId="0" borderId="0" xfId="0" applyFont="1" applyAlignment="1">
      <alignment wrapText="1"/>
    </xf>
  </cellXfs>
  <cellStyles count="3">
    <cellStyle name="Hyperlink" xfId="2" builtinId="8"/>
    <cellStyle name="Normal" xfId="0" builtinId="0"/>
    <cellStyle name="Normal_JAN-96"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chartsheet" Target="chartsheets/sheet85.xml"/><Relationship Id="rId21" Type="http://schemas.openxmlformats.org/officeDocument/2006/relationships/worksheet" Target="worksheets/sheet7.xml"/><Relationship Id="rId42" Type="http://schemas.openxmlformats.org/officeDocument/2006/relationships/worksheet" Target="worksheets/sheet12.xml"/><Relationship Id="rId63" Type="http://schemas.openxmlformats.org/officeDocument/2006/relationships/chartsheet" Target="chartsheets/sheet34.xml"/><Relationship Id="rId84" Type="http://schemas.openxmlformats.org/officeDocument/2006/relationships/chartsheet" Target="chartsheets/sheet54.xml"/><Relationship Id="rId138" Type="http://schemas.openxmlformats.org/officeDocument/2006/relationships/chartsheet" Target="chartsheets/sheet104.xml"/><Relationship Id="rId159" Type="http://schemas.openxmlformats.org/officeDocument/2006/relationships/chartsheet" Target="chartsheets/sheet124.xml"/><Relationship Id="rId170" Type="http://schemas.openxmlformats.org/officeDocument/2006/relationships/chartsheet" Target="chartsheets/sheet134.xml"/><Relationship Id="rId191" Type="http://schemas.openxmlformats.org/officeDocument/2006/relationships/chartsheet" Target="chartsheets/sheet154.xml"/><Relationship Id="rId205" Type="http://schemas.openxmlformats.org/officeDocument/2006/relationships/chartsheet" Target="chartsheets/sheet166.xml"/><Relationship Id="rId107" Type="http://schemas.openxmlformats.org/officeDocument/2006/relationships/worksheet" Target="worksheets/sheet32.xml"/><Relationship Id="rId11" Type="http://schemas.openxmlformats.org/officeDocument/2006/relationships/chartsheet" Target="chartsheets/sheet9.xml"/><Relationship Id="rId32" Type="http://schemas.openxmlformats.org/officeDocument/2006/relationships/chartsheet" Target="chartsheets/sheet21.xml"/><Relationship Id="rId53" Type="http://schemas.openxmlformats.org/officeDocument/2006/relationships/worksheet" Target="worksheets/sheet22.xml"/><Relationship Id="rId74" Type="http://schemas.openxmlformats.org/officeDocument/2006/relationships/chartsheet" Target="chartsheets/sheet45.xml"/><Relationship Id="rId128" Type="http://schemas.openxmlformats.org/officeDocument/2006/relationships/chartsheet" Target="chartsheets/sheet95.xml"/><Relationship Id="rId149" Type="http://schemas.openxmlformats.org/officeDocument/2006/relationships/chartsheet" Target="chartsheets/sheet115.xml"/><Relationship Id="rId5" Type="http://schemas.openxmlformats.org/officeDocument/2006/relationships/chartsheet" Target="chartsheets/sheet3.xml"/><Relationship Id="rId95" Type="http://schemas.openxmlformats.org/officeDocument/2006/relationships/chartsheet" Target="chartsheets/sheet64.xml"/><Relationship Id="rId160" Type="http://schemas.openxmlformats.org/officeDocument/2006/relationships/chartsheet" Target="chartsheets/sheet125.xml"/><Relationship Id="rId181" Type="http://schemas.openxmlformats.org/officeDocument/2006/relationships/chartsheet" Target="chartsheets/sheet145.xml"/><Relationship Id="rId216" Type="http://schemas.openxmlformats.org/officeDocument/2006/relationships/chartsheet" Target="chartsheets/sheet175.xml"/><Relationship Id="rId211" Type="http://schemas.openxmlformats.org/officeDocument/2006/relationships/chartsheet" Target="chartsheets/sheet171.xml"/><Relationship Id="rId22" Type="http://schemas.openxmlformats.org/officeDocument/2006/relationships/worksheet" Target="worksheets/sheet8.xml"/><Relationship Id="rId27" Type="http://schemas.openxmlformats.org/officeDocument/2006/relationships/worksheet" Target="worksheets/sheet11.xml"/><Relationship Id="rId43" Type="http://schemas.openxmlformats.org/officeDocument/2006/relationships/worksheet" Target="worksheets/sheet13.xml"/><Relationship Id="rId48" Type="http://schemas.openxmlformats.org/officeDocument/2006/relationships/worksheet" Target="worksheets/sheet17.xml"/><Relationship Id="rId64" Type="http://schemas.openxmlformats.org/officeDocument/2006/relationships/chartsheet" Target="chartsheets/sheet35.xml"/><Relationship Id="rId69" Type="http://schemas.openxmlformats.org/officeDocument/2006/relationships/chartsheet" Target="chartsheets/sheet40.xml"/><Relationship Id="rId113" Type="http://schemas.openxmlformats.org/officeDocument/2006/relationships/chartsheet" Target="chartsheets/sheet81.xml"/><Relationship Id="rId118" Type="http://schemas.openxmlformats.org/officeDocument/2006/relationships/chartsheet" Target="chartsheets/sheet86.xml"/><Relationship Id="rId134" Type="http://schemas.openxmlformats.org/officeDocument/2006/relationships/chartsheet" Target="chartsheets/sheet101.xml"/><Relationship Id="rId139" Type="http://schemas.openxmlformats.org/officeDocument/2006/relationships/chartsheet" Target="chartsheets/sheet105.xml"/><Relationship Id="rId80" Type="http://schemas.openxmlformats.org/officeDocument/2006/relationships/chartsheet" Target="chartsheets/sheet50.xml"/><Relationship Id="rId85" Type="http://schemas.openxmlformats.org/officeDocument/2006/relationships/chartsheet" Target="chartsheets/sheet55.xml"/><Relationship Id="rId150" Type="http://schemas.openxmlformats.org/officeDocument/2006/relationships/chartsheet" Target="chartsheets/sheet116.xml"/><Relationship Id="rId155" Type="http://schemas.openxmlformats.org/officeDocument/2006/relationships/chartsheet" Target="chartsheets/sheet120.xml"/><Relationship Id="rId171" Type="http://schemas.openxmlformats.org/officeDocument/2006/relationships/chartsheet" Target="chartsheets/sheet135.xml"/><Relationship Id="rId176" Type="http://schemas.openxmlformats.org/officeDocument/2006/relationships/chartsheet" Target="chartsheets/sheet140.xml"/><Relationship Id="rId192" Type="http://schemas.openxmlformats.org/officeDocument/2006/relationships/chartsheet" Target="chartsheets/sheet155.xml"/><Relationship Id="rId197" Type="http://schemas.openxmlformats.org/officeDocument/2006/relationships/chartsheet" Target="chartsheets/sheet160.xml"/><Relationship Id="rId206" Type="http://schemas.openxmlformats.org/officeDocument/2006/relationships/worksheet" Target="worksheets/sheet40.xml"/><Relationship Id="rId201" Type="http://schemas.openxmlformats.org/officeDocument/2006/relationships/chartsheet" Target="chartsheets/sheet162.xml"/><Relationship Id="rId222" Type="http://schemas.openxmlformats.org/officeDocument/2006/relationships/theme" Target="theme/theme1.xml"/><Relationship Id="rId12" Type="http://schemas.openxmlformats.org/officeDocument/2006/relationships/chartsheet" Target="chartsheets/sheet10.xml"/><Relationship Id="rId17" Type="http://schemas.openxmlformats.org/officeDocument/2006/relationships/worksheet" Target="worksheets/sheet3.xml"/><Relationship Id="rId33" Type="http://schemas.openxmlformats.org/officeDocument/2006/relationships/chartsheet" Target="chartsheets/sheet22.xml"/><Relationship Id="rId38" Type="http://schemas.openxmlformats.org/officeDocument/2006/relationships/chartsheet" Target="chartsheets/sheet27.xml"/><Relationship Id="rId59" Type="http://schemas.openxmlformats.org/officeDocument/2006/relationships/worksheet" Target="worksheets/sheet28.xml"/><Relationship Id="rId103" Type="http://schemas.openxmlformats.org/officeDocument/2006/relationships/chartsheet" Target="chartsheets/sheet72.xml"/><Relationship Id="rId108" Type="http://schemas.openxmlformats.org/officeDocument/2006/relationships/chartsheet" Target="chartsheets/sheet76.xml"/><Relationship Id="rId124" Type="http://schemas.openxmlformats.org/officeDocument/2006/relationships/chartsheet" Target="chartsheets/sheet91.xml"/><Relationship Id="rId129" Type="http://schemas.openxmlformats.org/officeDocument/2006/relationships/chartsheet" Target="chartsheets/sheet96.xml"/><Relationship Id="rId54" Type="http://schemas.openxmlformats.org/officeDocument/2006/relationships/worksheet" Target="worksheets/sheet23.xml"/><Relationship Id="rId70" Type="http://schemas.openxmlformats.org/officeDocument/2006/relationships/chartsheet" Target="chartsheets/sheet41.xml"/><Relationship Id="rId75" Type="http://schemas.openxmlformats.org/officeDocument/2006/relationships/chartsheet" Target="chartsheets/sheet46.xml"/><Relationship Id="rId91" Type="http://schemas.openxmlformats.org/officeDocument/2006/relationships/chartsheet" Target="chartsheets/sheet60.xml"/><Relationship Id="rId96" Type="http://schemas.openxmlformats.org/officeDocument/2006/relationships/chartsheet" Target="chartsheets/sheet65.xml"/><Relationship Id="rId140" Type="http://schemas.openxmlformats.org/officeDocument/2006/relationships/chartsheet" Target="chartsheets/sheet106.xml"/><Relationship Id="rId145" Type="http://schemas.openxmlformats.org/officeDocument/2006/relationships/chartsheet" Target="chartsheets/sheet111.xml"/><Relationship Id="rId161" Type="http://schemas.openxmlformats.org/officeDocument/2006/relationships/chartsheet" Target="chartsheets/sheet126.xml"/><Relationship Id="rId166" Type="http://schemas.openxmlformats.org/officeDocument/2006/relationships/chartsheet" Target="chartsheets/sheet131.xml"/><Relationship Id="rId182" Type="http://schemas.openxmlformats.org/officeDocument/2006/relationships/chartsheet" Target="chartsheets/sheet146.xml"/><Relationship Id="rId187" Type="http://schemas.openxmlformats.org/officeDocument/2006/relationships/chartsheet" Target="chartsheets/sheet150.xml"/><Relationship Id="rId217" Type="http://schemas.openxmlformats.org/officeDocument/2006/relationships/chartsheet" Target="chartsheets/sheet176.xml"/><Relationship Id="rId1" Type="http://schemas.openxmlformats.org/officeDocument/2006/relationships/worksheet" Target="worksheets/sheet1.xml"/><Relationship Id="rId6" Type="http://schemas.openxmlformats.org/officeDocument/2006/relationships/chartsheet" Target="chartsheets/sheet4.xml"/><Relationship Id="rId212" Type="http://schemas.openxmlformats.org/officeDocument/2006/relationships/worksheet" Target="worksheets/sheet41.xml"/><Relationship Id="rId23" Type="http://schemas.openxmlformats.org/officeDocument/2006/relationships/worksheet" Target="worksheets/sheet9.xml"/><Relationship Id="rId28" Type="http://schemas.openxmlformats.org/officeDocument/2006/relationships/chartsheet" Target="chartsheets/sheet17.xml"/><Relationship Id="rId49" Type="http://schemas.openxmlformats.org/officeDocument/2006/relationships/worksheet" Target="worksheets/sheet18.xml"/><Relationship Id="rId114" Type="http://schemas.openxmlformats.org/officeDocument/2006/relationships/chartsheet" Target="chartsheets/sheet82.xml"/><Relationship Id="rId119" Type="http://schemas.openxmlformats.org/officeDocument/2006/relationships/chartsheet" Target="chartsheets/sheet87.xml"/><Relationship Id="rId44" Type="http://schemas.openxmlformats.org/officeDocument/2006/relationships/chartsheet" Target="chartsheets/sheet31.xml"/><Relationship Id="rId60" Type="http://schemas.openxmlformats.org/officeDocument/2006/relationships/worksheet" Target="worksheets/sheet29.xml"/><Relationship Id="rId65" Type="http://schemas.openxmlformats.org/officeDocument/2006/relationships/chartsheet" Target="chartsheets/sheet36.xml"/><Relationship Id="rId81" Type="http://schemas.openxmlformats.org/officeDocument/2006/relationships/chartsheet" Target="chartsheets/sheet51.xml"/><Relationship Id="rId86" Type="http://schemas.openxmlformats.org/officeDocument/2006/relationships/chartsheet" Target="chartsheets/sheet56.xml"/><Relationship Id="rId130" Type="http://schemas.openxmlformats.org/officeDocument/2006/relationships/chartsheet" Target="chartsheets/sheet97.xml"/><Relationship Id="rId135" Type="http://schemas.openxmlformats.org/officeDocument/2006/relationships/chartsheet" Target="chartsheets/sheet102.xml"/><Relationship Id="rId151" Type="http://schemas.openxmlformats.org/officeDocument/2006/relationships/chartsheet" Target="chartsheets/sheet117.xml"/><Relationship Id="rId156" Type="http://schemas.openxmlformats.org/officeDocument/2006/relationships/chartsheet" Target="chartsheets/sheet121.xml"/><Relationship Id="rId177" Type="http://schemas.openxmlformats.org/officeDocument/2006/relationships/chartsheet" Target="chartsheets/sheet141.xml"/><Relationship Id="rId198" Type="http://schemas.openxmlformats.org/officeDocument/2006/relationships/worksheet" Target="worksheets/sheet38.xml"/><Relationship Id="rId172" Type="http://schemas.openxmlformats.org/officeDocument/2006/relationships/chartsheet" Target="chartsheets/sheet136.xml"/><Relationship Id="rId193" Type="http://schemas.openxmlformats.org/officeDocument/2006/relationships/chartsheet" Target="chartsheets/sheet156.xml"/><Relationship Id="rId202" Type="http://schemas.openxmlformats.org/officeDocument/2006/relationships/chartsheet" Target="chartsheets/sheet163.xml"/><Relationship Id="rId207" Type="http://schemas.openxmlformats.org/officeDocument/2006/relationships/chartsheet" Target="chartsheets/sheet167.xml"/><Relationship Id="rId223" Type="http://schemas.openxmlformats.org/officeDocument/2006/relationships/styles" Target="styles.xml"/><Relationship Id="rId13" Type="http://schemas.openxmlformats.org/officeDocument/2006/relationships/chartsheet" Target="chartsheets/sheet11.xml"/><Relationship Id="rId18" Type="http://schemas.openxmlformats.org/officeDocument/2006/relationships/worksheet" Target="worksheets/sheet4.xml"/><Relationship Id="rId39" Type="http://schemas.openxmlformats.org/officeDocument/2006/relationships/chartsheet" Target="chartsheets/sheet28.xml"/><Relationship Id="rId109" Type="http://schemas.openxmlformats.org/officeDocument/2006/relationships/chartsheet" Target="chartsheets/sheet77.xml"/><Relationship Id="rId34" Type="http://schemas.openxmlformats.org/officeDocument/2006/relationships/chartsheet" Target="chartsheets/sheet23.xml"/><Relationship Id="rId50" Type="http://schemas.openxmlformats.org/officeDocument/2006/relationships/worksheet" Target="worksheets/sheet19.xml"/><Relationship Id="rId55" Type="http://schemas.openxmlformats.org/officeDocument/2006/relationships/worksheet" Target="worksheets/sheet24.xml"/><Relationship Id="rId76" Type="http://schemas.openxmlformats.org/officeDocument/2006/relationships/worksheet" Target="worksheets/sheet30.xml"/><Relationship Id="rId97" Type="http://schemas.openxmlformats.org/officeDocument/2006/relationships/chartsheet" Target="chartsheets/sheet66.xml"/><Relationship Id="rId104" Type="http://schemas.openxmlformats.org/officeDocument/2006/relationships/chartsheet" Target="chartsheets/sheet73.xml"/><Relationship Id="rId120" Type="http://schemas.openxmlformats.org/officeDocument/2006/relationships/chartsheet" Target="chartsheets/sheet88.xml"/><Relationship Id="rId125" Type="http://schemas.openxmlformats.org/officeDocument/2006/relationships/chartsheet" Target="chartsheets/sheet92.xml"/><Relationship Id="rId141" Type="http://schemas.openxmlformats.org/officeDocument/2006/relationships/chartsheet" Target="chartsheets/sheet107.xml"/><Relationship Id="rId146" Type="http://schemas.openxmlformats.org/officeDocument/2006/relationships/chartsheet" Target="chartsheets/sheet112.xml"/><Relationship Id="rId167" Type="http://schemas.openxmlformats.org/officeDocument/2006/relationships/chartsheet" Target="chartsheets/sheet132.xml"/><Relationship Id="rId188" Type="http://schemas.openxmlformats.org/officeDocument/2006/relationships/chartsheet" Target="chartsheets/sheet151.xml"/><Relationship Id="rId7" Type="http://schemas.openxmlformats.org/officeDocument/2006/relationships/chartsheet" Target="chartsheets/sheet5.xml"/><Relationship Id="rId71" Type="http://schemas.openxmlformats.org/officeDocument/2006/relationships/chartsheet" Target="chartsheets/sheet42.xml"/><Relationship Id="rId92" Type="http://schemas.openxmlformats.org/officeDocument/2006/relationships/chartsheet" Target="chartsheets/sheet61.xml"/><Relationship Id="rId162" Type="http://schemas.openxmlformats.org/officeDocument/2006/relationships/chartsheet" Target="chartsheets/sheet127.xml"/><Relationship Id="rId183" Type="http://schemas.openxmlformats.org/officeDocument/2006/relationships/worksheet" Target="worksheets/sheet37.xml"/><Relationship Id="rId213" Type="http://schemas.openxmlformats.org/officeDocument/2006/relationships/chartsheet" Target="chartsheets/sheet172.xml"/><Relationship Id="rId218" Type="http://schemas.openxmlformats.org/officeDocument/2006/relationships/worksheet" Target="worksheets/sheet42.xml"/><Relationship Id="rId2" Type="http://schemas.openxmlformats.org/officeDocument/2006/relationships/worksheet" Target="worksheets/sheet2.xml"/><Relationship Id="rId29" Type="http://schemas.openxmlformats.org/officeDocument/2006/relationships/chartsheet" Target="chartsheets/sheet18.xml"/><Relationship Id="rId24" Type="http://schemas.openxmlformats.org/officeDocument/2006/relationships/worksheet" Target="worksheets/sheet10.xml"/><Relationship Id="rId40" Type="http://schemas.openxmlformats.org/officeDocument/2006/relationships/chartsheet" Target="chartsheets/sheet29.xml"/><Relationship Id="rId45" Type="http://schemas.openxmlformats.org/officeDocument/2006/relationships/worksheet" Target="worksheets/sheet14.xml"/><Relationship Id="rId66" Type="http://schemas.openxmlformats.org/officeDocument/2006/relationships/chartsheet" Target="chartsheets/sheet37.xml"/><Relationship Id="rId87" Type="http://schemas.openxmlformats.org/officeDocument/2006/relationships/chartsheet" Target="chartsheets/sheet57.xml"/><Relationship Id="rId110" Type="http://schemas.openxmlformats.org/officeDocument/2006/relationships/chartsheet" Target="chartsheets/sheet78.xml"/><Relationship Id="rId115" Type="http://schemas.openxmlformats.org/officeDocument/2006/relationships/chartsheet" Target="chartsheets/sheet83.xml"/><Relationship Id="rId131" Type="http://schemas.openxmlformats.org/officeDocument/2006/relationships/chartsheet" Target="chartsheets/sheet98.xml"/><Relationship Id="rId136" Type="http://schemas.openxmlformats.org/officeDocument/2006/relationships/chartsheet" Target="chartsheets/sheet103.xml"/><Relationship Id="rId157" Type="http://schemas.openxmlformats.org/officeDocument/2006/relationships/chartsheet" Target="chartsheets/sheet122.xml"/><Relationship Id="rId178" Type="http://schemas.openxmlformats.org/officeDocument/2006/relationships/chartsheet" Target="chartsheets/sheet142.xml"/><Relationship Id="rId61" Type="http://schemas.openxmlformats.org/officeDocument/2006/relationships/chartsheet" Target="chartsheets/sheet32.xml"/><Relationship Id="rId82" Type="http://schemas.openxmlformats.org/officeDocument/2006/relationships/chartsheet" Target="chartsheets/sheet52.xml"/><Relationship Id="rId152" Type="http://schemas.openxmlformats.org/officeDocument/2006/relationships/worksheet" Target="worksheets/sheet35.xml"/><Relationship Id="rId173" Type="http://schemas.openxmlformats.org/officeDocument/2006/relationships/chartsheet" Target="chartsheets/sheet137.xml"/><Relationship Id="rId194" Type="http://schemas.openxmlformats.org/officeDocument/2006/relationships/chartsheet" Target="chartsheets/sheet157.xml"/><Relationship Id="rId199" Type="http://schemas.openxmlformats.org/officeDocument/2006/relationships/worksheet" Target="worksheets/sheet39.xml"/><Relationship Id="rId203" Type="http://schemas.openxmlformats.org/officeDocument/2006/relationships/chartsheet" Target="chartsheets/sheet164.xml"/><Relationship Id="rId208" Type="http://schemas.openxmlformats.org/officeDocument/2006/relationships/chartsheet" Target="chartsheets/sheet168.xml"/><Relationship Id="rId19" Type="http://schemas.openxmlformats.org/officeDocument/2006/relationships/worksheet" Target="worksheets/sheet5.xml"/><Relationship Id="rId224" Type="http://schemas.openxmlformats.org/officeDocument/2006/relationships/sharedStrings" Target="sharedStrings.xml"/><Relationship Id="rId14" Type="http://schemas.openxmlformats.org/officeDocument/2006/relationships/chartsheet" Target="chartsheets/sheet12.xml"/><Relationship Id="rId30" Type="http://schemas.openxmlformats.org/officeDocument/2006/relationships/chartsheet" Target="chartsheets/sheet19.xml"/><Relationship Id="rId35" Type="http://schemas.openxmlformats.org/officeDocument/2006/relationships/chartsheet" Target="chartsheets/sheet24.xml"/><Relationship Id="rId56" Type="http://schemas.openxmlformats.org/officeDocument/2006/relationships/worksheet" Target="worksheets/sheet25.xml"/><Relationship Id="rId77" Type="http://schemas.openxmlformats.org/officeDocument/2006/relationships/chartsheet" Target="chartsheets/sheet47.xml"/><Relationship Id="rId100" Type="http://schemas.openxmlformats.org/officeDocument/2006/relationships/chartsheet" Target="chartsheets/sheet69.xml"/><Relationship Id="rId105" Type="http://schemas.openxmlformats.org/officeDocument/2006/relationships/chartsheet" Target="chartsheets/sheet74.xml"/><Relationship Id="rId126" Type="http://schemas.openxmlformats.org/officeDocument/2006/relationships/chartsheet" Target="chartsheets/sheet93.xml"/><Relationship Id="rId147" Type="http://schemas.openxmlformats.org/officeDocument/2006/relationships/chartsheet" Target="chartsheets/sheet113.xml"/><Relationship Id="rId168" Type="http://schemas.openxmlformats.org/officeDocument/2006/relationships/worksheet" Target="worksheets/sheet36.xml"/><Relationship Id="rId8" Type="http://schemas.openxmlformats.org/officeDocument/2006/relationships/chartsheet" Target="chartsheets/sheet6.xml"/><Relationship Id="rId51" Type="http://schemas.openxmlformats.org/officeDocument/2006/relationships/worksheet" Target="worksheets/sheet20.xml"/><Relationship Id="rId72" Type="http://schemas.openxmlformats.org/officeDocument/2006/relationships/chartsheet" Target="chartsheets/sheet43.xml"/><Relationship Id="rId93" Type="http://schemas.openxmlformats.org/officeDocument/2006/relationships/chartsheet" Target="chartsheets/sheet62.xml"/><Relationship Id="rId98" Type="http://schemas.openxmlformats.org/officeDocument/2006/relationships/chartsheet" Target="chartsheets/sheet67.xml"/><Relationship Id="rId121" Type="http://schemas.openxmlformats.org/officeDocument/2006/relationships/chartsheet" Target="chartsheets/sheet89.xml"/><Relationship Id="rId142" Type="http://schemas.openxmlformats.org/officeDocument/2006/relationships/chartsheet" Target="chartsheets/sheet108.xml"/><Relationship Id="rId163" Type="http://schemas.openxmlformats.org/officeDocument/2006/relationships/chartsheet" Target="chartsheets/sheet128.xml"/><Relationship Id="rId184" Type="http://schemas.openxmlformats.org/officeDocument/2006/relationships/chartsheet" Target="chartsheets/sheet147.xml"/><Relationship Id="rId189" Type="http://schemas.openxmlformats.org/officeDocument/2006/relationships/chartsheet" Target="chartsheets/sheet152.xml"/><Relationship Id="rId219" Type="http://schemas.openxmlformats.org/officeDocument/2006/relationships/chartsheet" Target="chartsheets/sheet177.xml"/><Relationship Id="rId3" Type="http://schemas.openxmlformats.org/officeDocument/2006/relationships/chartsheet" Target="chartsheets/sheet1.xml"/><Relationship Id="rId214" Type="http://schemas.openxmlformats.org/officeDocument/2006/relationships/chartsheet" Target="chartsheets/sheet173.xml"/><Relationship Id="rId25" Type="http://schemas.openxmlformats.org/officeDocument/2006/relationships/chartsheet" Target="chartsheets/sheet15.xml"/><Relationship Id="rId46" Type="http://schemas.openxmlformats.org/officeDocument/2006/relationships/worksheet" Target="worksheets/sheet15.xml"/><Relationship Id="rId67" Type="http://schemas.openxmlformats.org/officeDocument/2006/relationships/chartsheet" Target="chartsheets/sheet38.xml"/><Relationship Id="rId116" Type="http://schemas.openxmlformats.org/officeDocument/2006/relationships/chartsheet" Target="chartsheets/sheet84.xml"/><Relationship Id="rId137" Type="http://schemas.openxmlformats.org/officeDocument/2006/relationships/worksheet" Target="worksheets/sheet34.xml"/><Relationship Id="rId158" Type="http://schemas.openxmlformats.org/officeDocument/2006/relationships/chartsheet" Target="chartsheets/sheet123.xml"/><Relationship Id="rId20" Type="http://schemas.openxmlformats.org/officeDocument/2006/relationships/worksheet" Target="worksheets/sheet6.xml"/><Relationship Id="rId41" Type="http://schemas.openxmlformats.org/officeDocument/2006/relationships/chartsheet" Target="chartsheets/sheet30.xml"/><Relationship Id="rId62" Type="http://schemas.openxmlformats.org/officeDocument/2006/relationships/chartsheet" Target="chartsheets/sheet33.xml"/><Relationship Id="rId83" Type="http://schemas.openxmlformats.org/officeDocument/2006/relationships/chartsheet" Target="chartsheets/sheet53.xml"/><Relationship Id="rId88" Type="http://schemas.openxmlformats.org/officeDocument/2006/relationships/chartsheet" Target="chartsheets/sheet58.xml"/><Relationship Id="rId111" Type="http://schemas.openxmlformats.org/officeDocument/2006/relationships/chartsheet" Target="chartsheets/sheet79.xml"/><Relationship Id="rId132" Type="http://schemas.openxmlformats.org/officeDocument/2006/relationships/chartsheet" Target="chartsheets/sheet99.xml"/><Relationship Id="rId153" Type="http://schemas.openxmlformats.org/officeDocument/2006/relationships/chartsheet" Target="chartsheets/sheet118.xml"/><Relationship Id="rId174" Type="http://schemas.openxmlformats.org/officeDocument/2006/relationships/chartsheet" Target="chartsheets/sheet138.xml"/><Relationship Id="rId179" Type="http://schemas.openxmlformats.org/officeDocument/2006/relationships/chartsheet" Target="chartsheets/sheet143.xml"/><Relationship Id="rId195" Type="http://schemas.openxmlformats.org/officeDocument/2006/relationships/chartsheet" Target="chartsheets/sheet158.xml"/><Relationship Id="rId209" Type="http://schemas.openxmlformats.org/officeDocument/2006/relationships/chartsheet" Target="chartsheets/sheet169.xml"/><Relationship Id="rId190" Type="http://schemas.openxmlformats.org/officeDocument/2006/relationships/chartsheet" Target="chartsheets/sheet153.xml"/><Relationship Id="rId204" Type="http://schemas.openxmlformats.org/officeDocument/2006/relationships/chartsheet" Target="chartsheets/sheet165.xml"/><Relationship Id="rId220" Type="http://schemas.openxmlformats.org/officeDocument/2006/relationships/worksheet" Target="worksheets/sheet43.xml"/><Relationship Id="rId225" Type="http://schemas.openxmlformats.org/officeDocument/2006/relationships/calcChain" Target="calcChain.xml"/><Relationship Id="rId15" Type="http://schemas.openxmlformats.org/officeDocument/2006/relationships/chartsheet" Target="chartsheets/sheet13.xml"/><Relationship Id="rId36" Type="http://schemas.openxmlformats.org/officeDocument/2006/relationships/chartsheet" Target="chartsheets/sheet25.xml"/><Relationship Id="rId57" Type="http://schemas.openxmlformats.org/officeDocument/2006/relationships/worksheet" Target="worksheets/sheet26.xml"/><Relationship Id="rId106" Type="http://schemas.openxmlformats.org/officeDocument/2006/relationships/chartsheet" Target="chartsheets/sheet75.xml"/><Relationship Id="rId127" Type="http://schemas.openxmlformats.org/officeDocument/2006/relationships/chartsheet" Target="chartsheets/sheet94.xml"/><Relationship Id="rId10" Type="http://schemas.openxmlformats.org/officeDocument/2006/relationships/chartsheet" Target="chartsheets/sheet8.xml"/><Relationship Id="rId31" Type="http://schemas.openxmlformats.org/officeDocument/2006/relationships/chartsheet" Target="chartsheets/sheet20.xml"/><Relationship Id="rId52" Type="http://schemas.openxmlformats.org/officeDocument/2006/relationships/worksheet" Target="worksheets/sheet21.xml"/><Relationship Id="rId73" Type="http://schemas.openxmlformats.org/officeDocument/2006/relationships/chartsheet" Target="chartsheets/sheet44.xml"/><Relationship Id="rId78" Type="http://schemas.openxmlformats.org/officeDocument/2006/relationships/chartsheet" Target="chartsheets/sheet48.xml"/><Relationship Id="rId94" Type="http://schemas.openxmlformats.org/officeDocument/2006/relationships/chartsheet" Target="chartsheets/sheet63.xml"/><Relationship Id="rId99" Type="http://schemas.openxmlformats.org/officeDocument/2006/relationships/chartsheet" Target="chartsheets/sheet68.xml"/><Relationship Id="rId101" Type="http://schemas.openxmlformats.org/officeDocument/2006/relationships/chartsheet" Target="chartsheets/sheet70.xml"/><Relationship Id="rId122" Type="http://schemas.openxmlformats.org/officeDocument/2006/relationships/worksheet" Target="worksheets/sheet33.xml"/><Relationship Id="rId143" Type="http://schemas.openxmlformats.org/officeDocument/2006/relationships/chartsheet" Target="chartsheets/sheet109.xml"/><Relationship Id="rId148" Type="http://schemas.openxmlformats.org/officeDocument/2006/relationships/chartsheet" Target="chartsheets/sheet114.xml"/><Relationship Id="rId164" Type="http://schemas.openxmlformats.org/officeDocument/2006/relationships/chartsheet" Target="chartsheets/sheet129.xml"/><Relationship Id="rId169" Type="http://schemas.openxmlformats.org/officeDocument/2006/relationships/chartsheet" Target="chartsheets/sheet133.xml"/><Relationship Id="rId185" Type="http://schemas.openxmlformats.org/officeDocument/2006/relationships/chartsheet" Target="chartsheets/sheet148.xml"/><Relationship Id="rId4" Type="http://schemas.openxmlformats.org/officeDocument/2006/relationships/chartsheet" Target="chartsheets/sheet2.xml"/><Relationship Id="rId9" Type="http://schemas.openxmlformats.org/officeDocument/2006/relationships/chartsheet" Target="chartsheets/sheet7.xml"/><Relationship Id="rId180" Type="http://schemas.openxmlformats.org/officeDocument/2006/relationships/chartsheet" Target="chartsheets/sheet144.xml"/><Relationship Id="rId210" Type="http://schemas.openxmlformats.org/officeDocument/2006/relationships/chartsheet" Target="chartsheets/sheet170.xml"/><Relationship Id="rId215" Type="http://schemas.openxmlformats.org/officeDocument/2006/relationships/chartsheet" Target="chartsheets/sheet174.xml"/><Relationship Id="rId26" Type="http://schemas.openxmlformats.org/officeDocument/2006/relationships/chartsheet" Target="chartsheets/sheet16.xml"/><Relationship Id="rId47" Type="http://schemas.openxmlformats.org/officeDocument/2006/relationships/worksheet" Target="worksheets/sheet16.xml"/><Relationship Id="rId68" Type="http://schemas.openxmlformats.org/officeDocument/2006/relationships/chartsheet" Target="chartsheets/sheet39.xml"/><Relationship Id="rId89" Type="http://schemas.openxmlformats.org/officeDocument/2006/relationships/chartsheet" Target="chartsheets/sheet59.xml"/><Relationship Id="rId112" Type="http://schemas.openxmlformats.org/officeDocument/2006/relationships/chartsheet" Target="chartsheets/sheet80.xml"/><Relationship Id="rId133" Type="http://schemas.openxmlformats.org/officeDocument/2006/relationships/chartsheet" Target="chartsheets/sheet100.xml"/><Relationship Id="rId154" Type="http://schemas.openxmlformats.org/officeDocument/2006/relationships/chartsheet" Target="chartsheets/sheet119.xml"/><Relationship Id="rId175" Type="http://schemas.openxmlformats.org/officeDocument/2006/relationships/chartsheet" Target="chartsheets/sheet139.xml"/><Relationship Id="rId196" Type="http://schemas.openxmlformats.org/officeDocument/2006/relationships/chartsheet" Target="chartsheets/sheet159.xml"/><Relationship Id="rId200" Type="http://schemas.openxmlformats.org/officeDocument/2006/relationships/chartsheet" Target="chartsheets/sheet161.xml"/><Relationship Id="rId16" Type="http://schemas.openxmlformats.org/officeDocument/2006/relationships/chartsheet" Target="chartsheets/sheet14.xml"/><Relationship Id="rId221" Type="http://schemas.openxmlformats.org/officeDocument/2006/relationships/worksheet" Target="worksheets/sheet44.xml"/><Relationship Id="rId37" Type="http://schemas.openxmlformats.org/officeDocument/2006/relationships/chartsheet" Target="chartsheets/sheet26.xml"/><Relationship Id="rId58" Type="http://schemas.openxmlformats.org/officeDocument/2006/relationships/worksheet" Target="worksheets/sheet27.xml"/><Relationship Id="rId79" Type="http://schemas.openxmlformats.org/officeDocument/2006/relationships/chartsheet" Target="chartsheets/sheet49.xml"/><Relationship Id="rId102" Type="http://schemas.openxmlformats.org/officeDocument/2006/relationships/chartsheet" Target="chartsheets/sheet71.xml"/><Relationship Id="rId123" Type="http://schemas.openxmlformats.org/officeDocument/2006/relationships/chartsheet" Target="chartsheets/sheet90.xml"/><Relationship Id="rId144" Type="http://schemas.openxmlformats.org/officeDocument/2006/relationships/chartsheet" Target="chartsheets/sheet110.xml"/><Relationship Id="rId90" Type="http://schemas.openxmlformats.org/officeDocument/2006/relationships/worksheet" Target="worksheets/sheet31.xml"/><Relationship Id="rId165" Type="http://schemas.openxmlformats.org/officeDocument/2006/relationships/chartsheet" Target="chartsheets/sheet130.xml"/><Relationship Id="rId186" Type="http://schemas.openxmlformats.org/officeDocument/2006/relationships/chartsheet" Target="chartsheets/sheet14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129.xml.rels><?xml version="1.0" encoding="UTF-8" standalone="yes"?>
<Relationships xmlns="http://schemas.openxmlformats.org/package/2006/relationships"><Relationship Id="rId1" Type="http://schemas.openxmlformats.org/officeDocument/2006/relationships/chartUserShapes" Target="../drawings/drawing19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200.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20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212.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214.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216.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218.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220.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222.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228.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230.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234.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236.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238.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240.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242.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244.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250.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253.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25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chart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CA"/>
              <a:t>INCOME</a:t>
            </a:r>
            <a:r>
              <a:rPr lang="en-CA" baseline="0"/>
              <a:t> SUPPORT FOR PERSONS WITH DISABILITIES:</a:t>
            </a:r>
          </a:p>
          <a:p>
            <a:pPr>
              <a:defRPr/>
            </a:pPr>
            <a:r>
              <a:rPr lang="en-CA" baseline="0"/>
              <a:t>PERCENTAGE CHANGE FROM 2005 TO 2013</a:t>
            </a:r>
          </a:p>
          <a:p>
            <a:pPr>
              <a:defRPr/>
            </a:pPr>
            <a:r>
              <a:rPr lang="en-CA" baseline="0"/>
              <a:t>CANADA</a:t>
            </a:r>
            <a:endParaRPr lang="en-CA"/>
          </a:p>
        </c:rich>
      </c:tx>
      <c:layout>
        <c:manualLayout>
          <c:xMode val="edge"/>
          <c:yMode val="edge"/>
          <c:x val="0.26850358956189907"/>
          <c:y val="2.6229847819221049E-2"/>
        </c:manualLayout>
      </c:layout>
    </c:title>
    <c:plotArea>
      <c:layout>
        <c:manualLayout>
          <c:layoutTarget val="inner"/>
          <c:xMode val="edge"/>
          <c:yMode val="edge"/>
          <c:x val="6.3078673269135493E-2"/>
          <c:y val="0.17761149830101791"/>
          <c:w val="0.93545662309000344"/>
          <c:h val="0.73882284383025043"/>
        </c:manualLayout>
      </c:layout>
      <c:barChart>
        <c:barDir val="col"/>
        <c:grouping val="clustered"/>
        <c:ser>
          <c:idx val="0"/>
          <c:order val="0"/>
          <c:spPr>
            <a:solidFill>
              <a:srgbClr val="F79646">
                <a:lumMod val="75000"/>
              </a:srgbClr>
            </a:solidFill>
          </c:spPr>
          <c:dLbls>
            <c:txPr>
              <a:bodyPr/>
              <a:lstStyle/>
              <a:p>
                <a:pPr>
                  <a:defRPr sz="1400" b="1"/>
                </a:pPr>
                <a:endParaRPr lang="en-US"/>
              </a:p>
            </c:txPr>
            <c:showVal val="1"/>
          </c:dLbls>
          <c:cat>
            <c:strRef>
              <c:f>'CANADA TABLE TO 13-14'!$A$91:$A$93</c:f>
              <c:strCache>
                <c:ptCount val="3"/>
                <c:pt idx="0">
                  <c:v>Social Assistance - Disabled component *</c:v>
                </c:pt>
                <c:pt idx="1">
                  <c:v>Total income support for the disabled</c:v>
                </c:pt>
                <c:pt idx="2">
                  <c:v>Total income support for the disabled excluding SA</c:v>
                </c:pt>
              </c:strCache>
            </c:strRef>
          </c:cat>
          <c:val>
            <c:numRef>
              <c:f>'CANADA TABLE TO 13-14'!$I$91:$I$93</c:f>
              <c:numCache>
                <c:formatCode>0.0%</c:formatCode>
                <c:ptCount val="3"/>
                <c:pt idx="0">
                  <c:v>0.51491219233502172</c:v>
                </c:pt>
                <c:pt idx="1">
                  <c:v>0.36456053982109504</c:v>
                </c:pt>
                <c:pt idx="2">
                  <c:v>0.31275944432877606</c:v>
                </c:pt>
              </c:numCache>
            </c:numRef>
          </c:val>
        </c:ser>
        <c:dLbls/>
        <c:gapWidth val="50"/>
        <c:axId val="154285184"/>
        <c:axId val="44757376"/>
      </c:barChart>
      <c:catAx>
        <c:axId val="154285184"/>
        <c:scaling>
          <c:orientation val="minMax"/>
        </c:scaling>
        <c:delete val="1"/>
        <c:axPos val="b"/>
        <c:majorTickMark val="none"/>
        <c:tickLblPos val="none"/>
        <c:crossAx val="44757376"/>
        <c:crosses val="autoZero"/>
        <c:auto val="1"/>
        <c:lblAlgn val="ctr"/>
        <c:lblOffset val="100"/>
      </c:catAx>
      <c:valAx>
        <c:axId val="44757376"/>
        <c:scaling>
          <c:orientation val="minMax"/>
        </c:scaling>
        <c:axPos val="l"/>
        <c:majorGridlines/>
        <c:numFmt formatCode="0%" sourceLinked="0"/>
        <c:majorTickMark val="none"/>
        <c:tickLblPos val="nextTo"/>
        <c:crossAx val="154285184"/>
        <c:crosses val="autoZero"/>
        <c:crossBetween val="between"/>
      </c:valAx>
    </c:plotArea>
    <c:plotVisOnly val="1"/>
    <c:dispBlanksAs val="gap"/>
  </c:chart>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Estimated Expenditures from 2005-06 to 2009-10 </a:t>
            </a:r>
            <a:endParaRPr lang="en-US"/>
          </a:p>
          <a:p>
            <a:pPr>
              <a:defRPr lang="en-US"/>
            </a:pPr>
            <a:r>
              <a:rPr lang="en-US" sz="1800" b="1" i="0" baseline="0"/>
              <a:t>CANADA</a:t>
            </a:r>
            <a:endParaRPr lang="en-US"/>
          </a:p>
        </c:rich>
      </c:tx>
      <c:layout/>
    </c:title>
    <c:plotArea>
      <c:layout>
        <c:manualLayout>
          <c:layoutTarget val="inner"/>
          <c:xMode val="edge"/>
          <c:yMode val="edge"/>
          <c:x val="7.136754234754758E-2"/>
          <c:y val="0.15728161750164521"/>
          <c:w val="0.92439026976170857"/>
          <c:h val="0.68072172890899463"/>
        </c:manualLayout>
      </c:layout>
      <c:barChart>
        <c:barDir val="col"/>
        <c:grouping val="clustered"/>
        <c:ser>
          <c:idx val="3"/>
          <c:order val="0"/>
          <c:spPr>
            <a:solidFill>
              <a:schemeClr val="accent1"/>
            </a:solidFill>
          </c:spPr>
          <c:dLbls>
            <c:dLbl>
              <c:idx val="2"/>
              <c:layout>
                <c:manualLayout>
                  <c:x val="0"/>
                  <c:y val="-8.0628751895490246E-3"/>
                </c:manualLayout>
              </c:layout>
              <c:showVal val="1"/>
            </c:dLbl>
            <c:dLbl>
              <c:idx val="4"/>
              <c:layout>
                <c:manualLayout>
                  <c:x val="0"/>
                  <c:y val="4.0314375947746381E-3"/>
                </c:manualLayout>
              </c:layout>
              <c:showVal val="1"/>
            </c:dLbl>
            <c:txPr>
              <a:bodyPr/>
              <a:lstStyle/>
              <a:p>
                <a:pPr>
                  <a:defRPr lang="en-US" sz="1200" b="1" i="0" baseline="0"/>
                </a:pPr>
                <a:endParaRPr lang="en-US"/>
              </a:p>
            </c:txPr>
            <c:showVal val="1"/>
          </c:dLbls>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2013-14'!$E$43:$E$49</c:f>
              <c:numCache>
                <c:formatCode>0.0%</c:formatCode>
                <c:ptCount val="7"/>
                <c:pt idx="0">
                  <c:v>0.19795321637426899</c:v>
                </c:pt>
                <c:pt idx="1">
                  <c:v>0.12767871315942628</c:v>
                </c:pt>
                <c:pt idx="2">
                  <c:v>0.25139664804469275</c:v>
                </c:pt>
                <c:pt idx="3">
                  <c:v>0.22596618357487924</c:v>
                </c:pt>
                <c:pt idx="4">
                  <c:v>0.23748247933190636</c:v>
                </c:pt>
                <c:pt idx="5">
                  <c:v>0.13095434998346006</c:v>
                </c:pt>
                <c:pt idx="6">
                  <c:v>0.23443470442796133</c:v>
                </c:pt>
              </c:numCache>
            </c:numRef>
          </c:val>
        </c:ser>
        <c:dLbls/>
        <c:gapWidth val="50"/>
        <c:axId val="47798144"/>
        <c:axId val="47799680"/>
      </c:barChart>
      <c:catAx>
        <c:axId val="47798144"/>
        <c:scaling>
          <c:orientation val="minMax"/>
        </c:scaling>
        <c:axPos val="b"/>
        <c:majorTickMark val="none"/>
        <c:tickLblPos val="nextTo"/>
        <c:txPr>
          <a:bodyPr/>
          <a:lstStyle/>
          <a:p>
            <a:pPr>
              <a:defRPr lang="en-US" sz="1200" b="1" i="0" baseline="0"/>
            </a:pPr>
            <a:endParaRPr lang="en-US"/>
          </a:p>
        </c:txPr>
        <c:crossAx val="47799680"/>
        <c:crosses val="autoZero"/>
        <c:auto val="1"/>
        <c:lblAlgn val="ctr"/>
        <c:lblOffset val="100"/>
      </c:catAx>
      <c:valAx>
        <c:axId val="47799680"/>
        <c:scaling>
          <c:orientation val="minMax"/>
        </c:scaling>
        <c:axPos val="l"/>
        <c:majorGridlines/>
        <c:numFmt formatCode="0%" sourceLinked="0"/>
        <c:majorTickMark val="none"/>
        <c:tickLblPos val="nextTo"/>
        <c:txPr>
          <a:bodyPr/>
          <a:lstStyle/>
          <a:p>
            <a:pPr>
              <a:defRPr lang="en-US"/>
            </a:pPr>
            <a:endParaRPr lang="en-US"/>
          </a:p>
        </c:txPr>
        <c:crossAx val="47798144"/>
        <c:crosses val="autoZero"/>
        <c:crossBetween val="between"/>
      </c:valAx>
    </c:plotArea>
    <c:plotVisOnly val="1"/>
    <c:dispBlanksAs val="gap"/>
  </c:chart>
  <c:userShapes r:id="rId1"/>
</c:chartSpace>
</file>

<file path=xl/charts/chart10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a:t>
            </a:r>
            <a:endParaRPr lang="en-CA"/>
          </a:p>
          <a:p>
            <a:pPr>
              <a:defRPr/>
            </a:pPr>
            <a:r>
              <a:rPr lang="en-US" sz="1800" b="1" i="0" baseline="0"/>
              <a:t>PERCENTAGE INCREASE FROM 2005-06 TO </a:t>
            </a:r>
            <a:endParaRPr lang="en-CA"/>
          </a:p>
          <a:p>
            <a:pPr>
              <a:defRPr/>
            </a:pPr>
            <a:r>
              <a:rPr lang="en-US" sz="1800" b="1" i="0" baseline="0"/>
              <a:t>2009-10, 2010-11 AND 2011-12</a:t>
            </a:r>
          </a:p>
          <a:p>
            <a:pPr>
              <a:defRPr/>
            </a:pPr>
            <a:r>
              <a:rPr lang="en-US" sz="1800" b="1" i="0" baseline="0"/>
              <a:t>PRINCE EDWARD ISLAND</a:t>
            </a:r>
            <a:endParaRPr lang="en-CA"/>
          </a:p>
        </c:rich>
      </c:tx>
    </c:title>
    <c:plotArea>
      <c:layout/>
      <c:barChart>
        <c:barDir val="col"/>
        <c:grouping val="clustered"/>
        <c:ser>
          <c:idx val="0"/>
          <c:order val="0"/>
          <c:tx>
            <c:strRef>
              <c:f>PEI!$E$270</c:f>
              <c:strCache>
                <c:ptCount val="1"/>
                <c:pt idx="0">
                  <c:v>2009-10</c:v>
                </c:pt>
              </c:strCache>
            </c:strRef>
          </c:tx>
          <c:dLbls>
            <c:txPr>
              <a:bodyPr/>
              <a:lstStyle/>
              <a:p>
                <a:pPr>
                  <a:defRPr sz="1400" b="1"/>
                </a:pPr>
                <a:endParaRPr lang="en-US"/>
              </a:p>
            </c:txPr>
            <c:showVal val="1"/>
          </c:dLbls>
          <c:cat>
            <c:strRef>
              <c:f>PEI!$A$271:$A$273</c:f>
              <c:strCache>
                <c:ptCount val="3"/>
                <c:pt idx="0">
                  <c:v>Income Assistance for the Disabled (IAD) &amp; FN SA</c:v>
                </c:pt>
                <c:pt idx="1">
                  <c:v>Total Income Support for the Disabled</c:v>
                </c:pt>
                <c:pt idx="2">
                  <c:v>Total Income Support for the Disabled excl. IAD</c:v>
                </c:pt>
              </c:strCache>
            </c:strRef>
          </c:cat>
          <c:val>
            <c:numRef>
              <c:f>PEI!$E$271:$E$273</c:f>
              <c:numCache>
                <c:formatCode>0.0%</c:formatCode>
                <c:ptCount val="3"/>
                <c:pt idx="0">
                  <c:v>7.8111035641511603E-2</c:v>
                </c:pt>
                <c:pt idx="1">
                  <c:v>0.20271761000359154</c:v>
                </c:pt>
                <c:pt idx="2">
                  <c:v>0.22619525815616759</c:v>
                </c:pt>
              </c:numCache>
            </c:numRef>
          </c:val>
        </c:ser>
        <c:ser>
          <c:idx val="1"/>
          <c:order val="1"/>
          <c:tx>
            <c:strRef>
              <c:f>PEI!$G$270</c:f>
              <c:strCache>
                <c:ptCount val="1"/>
                <c:pt idx="0">
                  <c:v>2010-11</c:v>
                </c:pt>
              </c:strCache>
            </c:strRef>
          </c:tx>
          <c:dLbls>
            <c:dLbl>
              <c:idx val="0"/>
              <c:layout>
                <c:manualLayout>
                  <c:x val="0"/>
                  <c:y val="-1.2106083608871186E-2"/>
                </c:manualLayout>
              </c:layout>
              <c:showVal val="1"/>
            </c:dLbl>
            <c:dLbl>
              <c:idx val="2"/>
              <c:layout>
                <c:manualLayout>
                  <c:x val="0"/>
                  <c:y val="-6.0530418044355931E-3"/>
                </c:manualLayout>
              </c:layout>
              <c:showVal val="1"/>
            </c:dLbl>
            <c:txPr>
              <a:bodyPr/>
              <a:lstStyle/>
              <a:p>
                <a:pPr>
                  <a:defRPr sz="1400" b="1"/>
                </a:pPr>
                <a:endParaRPr lang="en-US"/>
              </a:p>
            </c:txPr>
            <c:showVal val="1"/>
          </c:dLbls>
          <c:cat>
            <c:strRef>
              <c:f>PEI!$A$271:$A$273</c:f>
              <c:strCache>
                <c:ptCount val="3"/>
                <c:pt idx="0">
                  <c:v>Income Assistance for the Disabled (IAD) &amp; FN SA</c:v>
                </c:pt>
                <c:pt idx="1">
                  <c:v>Total Income Support for the Disabled</c:v>
                </c:pt>
                <c:pt idx="2">
                  <c:v>Total Income Support for the Disabled excl. IAD</c:v>
                </c:pt>
              </c:strCache>
            </c:strRef>
          </c:cat>
          <c:val>
            <c:numRef>
              <c:f>PEI!$G$271:$G$273</c:f>
              <c:numCache>
                <c:formatCode>0.0%</c:formatCode>
                <c:ptCount val="3"/>
                <c:pt idx="0">
                  <c:v>0.13480141565080603</c:v>
                </c:pt>
                <c:pt idx="1">
                  <c:v>0.26565575531617286</c:v>
                </c:pt>
                <c:pt idx="2">
                  <c:v>0.29031057117664372</c:v>
                </c:pt>
              </c:numCache>
            </c:numRef>
          </c:val>
        </c:ser>
        <c:ser>
          <c:idx val="2"/>
          <c:order val="2"/>
          <c:tx>
            <c:strRef>
              <c:f>PEI!$I$270</c:f>
              <c:strCache>
                <c:ptCount val="1"/>
                <c:pt idx="0">
                  <c:v>2011-12</c:v>
                </c:pt>
              </c:strCache>
            </c:strRef>
          </c:tx>
          <c:dLbls>
            <c:dLbl>
              <c:idx val="2"/>
              <c:layout>
                <c:manualLayout>
                  <c:x val="-1.1533099523598586E-7"/>
                  <c:y val="-1.2106083608871186E-2"/>
                </c:manualLayout>
              </c:layout>
              <c:showVal val="1"/>
            </c:dLbl>
            <c:txPr>
              <a:bodyPr/>
              <a:lstStyle/>
              <a:p>
                <a:pPr>
                  <a:defRPr sz="1400" b="1"/>
                </a:pPr>
                <a:endParaRPr lang="en-US"/>
              </a:p>
            </c:txPr>
            <c:showVal val="1"/>
          </c:dLbls>
          <c:cat>
            <c:strRef>
              <c:f>PEI!$A$271:$A$273</c:f>
              <c:strCache>
                <c:ptCount val="3"/>
                <c:pt idx="0">
                  <c:v>Income Assistance for the Disabled (IAD) &amp; FN SA</c:v>
                </c:pt>
                <c:pt idx="1">
                  <c:v>Total Income Support for the Disabled</c:v>
                </c:pt>
                <c:pt idx="2">
                  <c:v>Total Income Support for the Disabled excl. IAD</c:v>
                </c:pt>
              </c:strCache>
            </c:strRef>
          </c:cat>
          <c:val>
            <c:numRef>
              <c:f>PEI!$I$271:$I$273</c:f>
              <c:numCache>
                <c:formatCode>0.0%</c:formatCode>
                <c:ptCount val="3"/>
                <c:pt idx="0">
                  <c:v>0.25606835162478114</c:v>
                </c:pt>
                <c:pt idx="1">
                  <c:v>0.32169332288415792</c:v>
                </c:pt>
                <c:pt idx="2">
                  <c:v>0.33405799941216796</c:v>
                </c:pt>
              </c:numCache>
            </c:numRef>
          </c:val>
        </c:ser>
        <c:dLbls/>
        <c:gapWidth val="75"/>
        <c:axId val="151014400"/>
        <c:axId val="151028480"/>
      </c:barChart>
      <c:catAx>
        <c:axId val="151014400"/>
        <c:scaling>
          <c:orientation val="minMax"/>
        </c:scaling>
        <c:axPos val="b"/>
        <c:majorTickMark val="none"/>
        <c:tickLblPos val="nextTo"/>
        <c:crossAx val="151028480"/>
        <c:crosses val="autoZero"/>
        <c:auto val="1"/>
        <c:lblAlgn val="ctr"/>
        <c:lblOffset val="100"/>
      </c:catAx>
      <c:valAx>
        <c:axId val="151028480"/>
        <c:scaling>
          <c:orientation val="minMax"/>
        </c:scaling>
        <c:axPos val="l"/>
        <c:majorGridlines/>
        <c:numFmt formatCode="0%" sourceLinked="0"/>
        <c:majorTickMark val="none"/>
        <c:tickLblPos val="nextTo"/>
        <c:crossAx val="151014400"/>
        <c:crosses val="autoZero"/>
        <c:crossBetween val="between"/>
      </c:valAx>
    </c:plotArea>
    <c:legend>
      <c:legendPos val="b"/>
      <c:layout>
        <c:manualLayout>
          <c:xMode val="edge"/>
          <c:yMode val="edge"/>
          <c:x val="0.29931784022874497"/>
          <c:y val="0.94652431479884513"/>
          <c:w val="0.4423760214866258"/>
          <c:h val="4.1369601592283624E-2"/>
        </c:manualLayout>
      </c:layout>
      <c:txPr>
        <a:bodyPr/>
        <a:lstStyle/>
        <a:p>
          <a:pPr>
            <a:defRPr sz="1200" b="1"/>
          </a:pPr>
          <a:endParaRPr lang="en-US"/>
        </a:p>
      </c:txPr>
    </c:legend>
    <c:plotVisOnly val="1"/>
    <c:dispBlanksAs val="gap"/>
  </c:chart>
  <c:userShapes r:id="rId1"/>
</c:chartSpace>
</file>

<file path=xl/charts/chart10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a:t>
            </a:r>
          </a:p>
          <a:p>
            <a:pPr>
              <a:defRPr lang="en-US"/>
            </a:pPr>
            <a:r>
              <a:rPr lang="en-US" sz="1800" b="1" i="0" baseline="0"/>
              <a:t>2009-10 AND 2010-11 </a:t>
            </a:r>
            <a:endParaRPr lang="en-US"/>
          </a:p>
          <a:p>
            <a:pPr>
              <a:defRPr lang="en-US"/>
            </a:pPr>
            <a:r>
              <a:rPr lang="en-US" sz="1800" b="1" i="0" baseline="0"/>
              <a:t>PRINCE EDWARD ISLAND</a:t>
            </a:r>
            <a:endParaRPr lang="en-US"/>
          </a:p>
        </c:rich>
      </c:tx>
    </c:title>
    <c:plotArea>
      <c:layout>
        <c:manualLayout>
          <c:layoutTarget val="inner"/>
          <c:xMode val="edge"/>
          <c:yMode val="edge"/>
          <c:x val="4.8394431395164104E-2"/>
          <c:y val="0.2136712714995456"/>
          <c:w val="0.93550620568785758"/>
          <c:h val="0.70162520899194691"/>
        </c:manualLayout>
      </c:layout>
      <c:barChart>
        <c:barDir val="col"/>
        <c:grouping val="clustered"/>
        <c:ser>
          <c:idx val="0"/>
          <c:order val="0"/>
          <c:tx>
            <c:strRef>
              <c:f>PEI!$E$270</c:f>
              <c:strCache>
                <c:ptCount val="1"/>
                <c:pt idx="0">
                  <c:v>2009-10</c:v>
                </c:pt>
              </c:strCache>
            </c:strRef>
          </c:tx>
          <c:dLbls>
            <c:txPr>
              <a:bodyPr/>
              <a:lstStyle/>
              <a:p>
                <a:pPr>
                  <a:defRPr lang="en-US" sz="1400" b="1" i="0" baseline="0"/>
                </a:pPr>
                <a:endParaRPr lang="en-US"/>
              </a:p>
            </c:txPr>
            <c:showVal val="1"/>
          </c:dLbls>
          <c:cat>
            <c:strRef>
              <c:f>PEI!$A$271:$A$273</c:f>
              <c:strCache>
                <c:ptCount val="3"/>
                <c:pt idx="0">
                  <c:v>Income Assistance for the Disabled (IAD) &amp; FN SA</c:v>
                </c:pt>
                <c:pt idx="1">
                  <c:v>Total Income Support for the Disabled</c:v>
                </c:pt>
                <c:pt idx="2">
                  <c:v>Total Income Support for the Disabled excl. IAD</c:v>
                </c:pt>
              </c:strCache>
            </c:strRef>
          </c:cat>
          <c:val>
            <c:numRef>
              <c:f>PEI!$E$271:$E$273</c:f>
              <c:numCache>
                <c:formatCode>0.0%</c:formatCode>
                <c:ptCount val="3"/>
                <c:pt idx="0">
                  <c:v>7.8111035641511603E-2</c:v>
                </c:pt>
                <c:pt idx="1">
                  <c:v>0.20271761000359154</c:v>
                </c:pt>
                <c:pt idx="2">
                  <c:v>0.22619525815616759</c:v>
                </c:pt>
              </c:numCache>
            </c:numRef>
          </c:val>
        </c:ser>
        <c:ser>
          <c:idx val="1"/>
          <c:order val="1"/>
          <c:tx>
            <c:strRef>
              <c:f>PEI!$G$270</c:f>
              <c:strCache>
                <c:ptCount val="1"/>
                <c:pt idx="0">
                  <c:v>2010-11</c:v>
                </c:pt>
              </c:strCache>
            </c:strRef>
          </c:tx>
          <c:spPr>
            <a:solidFill>
              <a:srgbClr val="9BBB59"/>
            </a:solidFill>
          </c:spPr>
          <c:dLbls>
            <c:dLbl>
              <c:idx val="0"/>
              <c:layout>
                <c:manualLayout>
                  <c:x val="2.9270416515987242E-3"/>
                  <c:y val="-1.6125909097113617E-2"/>
                </c:manualLayout>
              </c:layout>
              <c:showVal val="1"/>
            </c:dLbl>
            <c:dLbl>
              <c:idx val="2"/>
              <c:layout>
                <c:manualLayout>
                  <c:x val="0"/>
                  <c:y val="-1.0078593986936274E-2"/>
                </c:manualLayout>
              </c:layout>
              <c:showVal val="1"/>
            </c:dLbl>
            <c:txPr>
              <a:bodyPr/>
              <a:lstStyle/>
              <a:p>
                <a:pPr>
                  <a:defRPr lang="en-US" sz="1400" b="1" i="0" baseline="0"/>
                </a:pPr>
                <a:endParaRPr lang="en-US"/>
              </a:p>
            </c:txPr>
            <c:showVal val="1"/>
          </c:dLbls>
          <c:cat>
            <c:strRef>
              <c:f>PEI!$A$271:$A$273</c:f>
              <c:strCache>
                <c:ptCount val="3"/>
                <c:pt idx="0">
                  <c:v>Income Assistance for the Disabled (IAD) &amp; FN SA</c:v>
                </c:pt>
                <c:pt idx="1">
                  <c:v>Total Income Support for the Disabled</c:v>
                </c:pt>
                <c:pt idx="2">
                  <c:v>Total Income Support for the Disabled excl. IAD</c:v>
                </c:pt>
              </c:strCache>
            </c:strRef>
          </c:cat>
          <c:val>
            <c:numRef>
              <c:f>PEI!$G$271:$G$273</c:f>
              <c:numCache>
                <c:formatCode>0.0%</c:formatCode>
                <c:ptCount val="3"/>
                <c:pt idx="0">
                  <c:v>0.13480141565080603</c:v>
                </c:pt>
                <c:pt idx="1">
                  <c:v>0.26565575531617286</c:v>
                </c:pt>
                <c:pt idx="2">
                  <c:v>0.29031057117664372</c:v>
                </c:pt>
              </c:numCache>
            </c:numRef>
          </c:val>
        </c:ser>
        <c:dLbls/>
        <c:gapWidth val="75"/>
        <c:axId val="151177472"/>
        <c:axId val="151519232"/>
      </c:barChart>
      <c:catAx>
        <c:axId val="151177472"/>
        <c:scaling>
          <c:orientation val="minMax"/>
        </c:scaling>
        <c:delete val="1"/>
        <c:axPos val="b"/>
        <c:majorTickMark val="none"/>
        <c:tickLblPos val="none"/>
        <c:crossAx val="151519232"/>
        <c:crosses val="autoZero"/>
        <c:auto val="1"/>
        <c:lblAlgn val="ctr"/>
        <c:lblOffset val="100"/>
      </c:catAx>
      <c:valAx>
        <c:axId val="151519232"/>
        <c:scaling>
          <c:orientation val="minMax"/>
        </c:scaling>
        <c:axPos val="l"/>
        <c:majorGridlines/>
        <c:numFmt formatCode="0%" sourceLinked="0"/>
        <c:majorTickMark val="none"/>
        <c:tickLblPos val="nextTo"/>
        <c:txPr>
          <a:bodyPr/>
          <a:lstStyle/>
          <a:p>
            <a:pPr>
              <a:defRPr lang="en-US"/>
            </a:pPr>
            <a:endParaRPr lang="en-US"/>
          </a:p>
        </c:txPr>
        <c:crossAx val="151177472"/>
        <c:crosses val="autoZero"/>
        <c:crossBetween val="between"/>
      </c:valAx>
    </c:plotArea>
    <c:legend>
      <c:legendPos val="b"/>
      <c:layout>
        <c:manualLayout>
          <c:xMode val="edge"/>
          <c:yMode val="edge"/>
          <c:x val="0.32190716487338294"/>
          <c:y val="0.9417074757137629"/>
          <c:w val="0.39277513142819204"/>
          <c:h val="4.6198211501913833E-2"/>
        </c:manualLayout>
      </c:layout>
      <c:txPr>
        <a:bodyPr/>
        <a:lstStyle/>
        <a:p>
          <a:pPr>
            <a:defRPr lang="en-US" sz="1400" b="1" i="0" baseline="0"/>
          </a:pPr>
          <a:endParaRPr lang="en-US"/>
        </a:p>
      </c:txPr>
    </c:legend>
    <c:plotVisOnly val="1"/>
    <c:dispBlanksAs val="gap"/>
  </c:chart>
  <c:userShapes r:id="rId1"/>
</c:chartSpace>
</file>

<file path=xl/charts/chart10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PERSONS WITH DISABILITIES:</a:t>
            </a:r>
            <a:endParaRPr lang="en-US"/>
          </a:p>
          <a:p>
            <a:pPr>
              <a:defRPr lang="en-US"/>
            </a:pPr>
            <a:r>
              <a:rPr lang="en-US" sz="1800" b="1" i="0" baseline="0"/>
              <a:t>PERCENTAGE CHANGE FROM 2005 TO 2013</a:t>
            </a:r>
          </a:p>
          <a:p>
            <a:pPr>
              <a:defRPr lang="en-US"/>
            </a:pPr>
            <a:r>
              <a:rPr lang="en-US" sz="1800" b="1" i="0" baseline="0"/>
              <a:t>PRINCE EDWARD ISLAND</a:t>
            </a:r>
            <a:endParaRPr lang="en-US"/>
          </a:p>
        </c:rich>
      </c:tx>
    </c:title>
    <c:plotArea>
      <c:layout>
        <c:manualLayout>
          <c:layoutTarget val="inner"/>
          <c:xMode val="edge"/>
          <c:yMode val="edge"/>
          <c:x val="5.4248745183155256E-2"/>
          <c:y val="0.16937593028596859"/>
          <c:w val="0.93550620568785758"/>
          <c:h val="0.80421307449176116"/>
        </c:manualLayout>
      </c:layout>
      <c:barChart>
        <c:barDir val="col"/>
        <c:grouping val="clustered"/>
        <c:ser>
          <c:idx val="0"/>
          <c:order val="0"/>
          <c:spPr>
            <a:solidFill>
              <a:schemeClr val="accent6"/>
            </a:solidFill>
          </c:spPr>
          <c:dLbls>
            <c:dLbl>
              <c:idx val="2"/>
              <c:layout>
                <c:manualLayout>
                  <c:x val="0"/>
                  <c:y val="4.0314375947744993E-3"/>
                </c:manualLayout>
              </c:layout>
              <c:showVal val="1"/>
            </c:dLbl>
            <c:txPr>
              <a:bodyPr/>
              <a:lstStyle/>
              <a:p>
                <a:pPr>
                  <a:defRPr sz="1400" b="1"/>
                </a:pPr>
                <a:endParaRPr lang="en-US"/>
              </a:p>
            </c:txPr>
            <c:showVal val="1"/>
          </c:dLbls>
          <c:cat>
            <c:strRef>
              <c:f>PEI!$A$271:$A$273</c:f>
              <c:strCache>
                <c:ptCount val="3"/>
                <c:pt idx="0">
                  <c:v>Income Assistance for the Disabled (IAD) &amp; FN SA</c:v>
                </c:pt>
                <c:pt idx="1">
                  <c:v>Total Income Support for the Disabled</c:v>
                </c:pt>
                <c:pt idx="2">
                  <c:v>Total Income Support for the Disabled excl. IAD</c:v>
                </c:pt>
              </c:strCache>
            </c:strRef>
          </c:cat>
          <c:val>
            <c:numRef>
              <c:f>PEI!$M$271:$M$273</c:f>
              <c:numCache>
                <c:formatCode>0.0%</c:formatCode>
                <c:ptCount val="3"/>
                <c:pt idx="0">
                  <c:v>0.30284612109729175</c:v>
                </c:pt>
                <c:pt idx="1">
                  <c:v>0.44848245306243834</c:v>
                </c:pt>
                <c:pt idx="2">
                  <c:v>0.47592240619182952</c:v>
                </c:pt>
              </c:numCache>
            </c:numRef>
          </c:val>
        </c:ser>
        <c:dLbls/>
        <c:gapWidth val="50"/>
        <c:axId val="151613824"/>
        <c:axId val="151615360"/>
      </c:barChart>
      <c:catAx>
        <c:axId val="151613824"/>
        <c:scaling>
          <c:orientation val="minMax"/>
        </c:scaling>
        <c:delete val="1"/>
        <c:axPos val="b"/>
        <c:majorTickMark val="none"/>
        <c:tickLblPos val="none"/>
        <c:crossAx val="151615360"/>
        <c:crosses val="autoZero"/>
        <c:auto val="1"/>
        <c:lblAlgn val="ctr"/>
        <c:lblOffset val="100"/>
      </c:catAx>
      <c:valAx>
        <c:axId val="151615360"/>
        <c:scaling>
          <c:orientation val="minMax"/>
        </c:scaling>
        <c:axPos val="l"/>
        <c:majorGridlines/>
        <c:numFmt formatCode="0%" sourceLinked="0"/>
        <c:majorTickMark val="none"/>
        <c:tickLblPos val="nextTo"/>
        <c:txPr>
          <a:bodyPr/>
          <a:lstStyle/>
          <a:p>
            <a:pPr>
              <a:defRPr lang="en-US"/>
            </a:pPr>
            <a:endParaRPr lang="en-US"/>
          </a:p>
        </c:txPr>
        <c:crossAx val="151613824"/>
        <c:crosses val="autoZero"/>
        <c:crossBetween val="between"/>
      </c:valAx>
    </c:plotArea>
    <c:plotVisOnly val="1"/>
    <c:dispBlanksAs val="gap"/>
  </c:chart>
  <c:userShapes r:id="rId1"/>
</c:chartSpace>
</file>

<file path=xl/charts/chart10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2009-10</a:t>
            </a:r>
          </a:p>
          <a:p>
            <a:pPr>
              <a:defRPr lang="en-US"/>
            </a:pPr>
            <a:r>
              <a:rPr lang="en-US" sz="1800" b="1" i="0" baseline="0"/>
              <a:t>PRINCE EDWARD ISLAND</a:t>
            </a:r>
            <a:endParaRPr lang="en-US"/>
          </a:p>
        </c:rich>
      </c:tx>
    </c:title>
    <c:plotArea>
      <c:layout>
        <c:manualLayout>
          <c:layoutTarget val="inner"/>
          <c:xMode val="edge"/>
          <c:yMode val="edge"/>
          <c:x val="6.3901102662306766E-2"/>
          <c:y val="0.18147024307029574"/>
          <c:w val="0.92439026976170857"/>
          <c:h val="0.77609554316639207"/>
        </c:manualLayout>
      </c:layout>
      <c:barChart>
        <c:barDir val="col"/>
        <c:grouping val="clustered"/>
        <c:ser>
          <c:idx val="3"/>
          <c:order val="0"/>
          <c:spPr>
            <a:solidFill>
              <a:srgbClr val="4F81BD"/>
            </a:solidFill>
          </c:spPr>
          <c:dLbls>
            <c:txPr>
              <a:bodyPr/>
              <a:lstStyle/>
              <a:p>
                <a:pPr>
                  <a:defRPr lang="en-US" sz="1400" b="1" i="0" baseline="0"/>
                </a:pPr>
                <a:endParaRPr lang="en-US"/>
              </a:p>
            </c:txPr>
            <c:showVal val="1"/>
          </c:dLbls>
          <c:cat>
            <c:strRef>
              <c:f>PEI!$A$271:$A$273</c:f>
              <c:strCache>
                <c:ptCount val="3"/>
                <c:pt idx="0">
                  <c:v>Income Assistance for the Disabled (IAD) &amp; FN SA</c:v>
                </c:pt>
                <c:pt idx="1">
                  <c:v>Total Income Support for the Disabled</c:v>
                </c:pt>
                <c:pt idx="2">
                  <c:v>Total Income Support for the Disabled excl. IAD</c:v>
                </c:pt>
              </c:strCache>
            </c:strRef>
          </c:cat>
          <c:val>
            <c:numRef>
              <c:f>PEI!$E$271:$E$273</c:f>
              <c:numCache>
                <c:formatCode>0.0%</c:formatCode>
                <c:ptCount val="3"/>
                <c:pt idx="0">
                  <c:v>7.8111035641511603E-2</c:v>
                </c:pt>
                <c:pt idx="1">
                  <c:v>0.20271761000359154</c:v>
                </c:pt>
                <c:pt idx="2">
                  <c:v>0.22619525815616759</c:v>
                </c:pt>
              </c:numCache>
            </c:numRef>
          </c:val>
        </c:ser>
        <c:dLbls/>
        <c:gapWidth val="50"/>
        <c:axId val="151672704"/>
        <c:axId val="151674240"/>
      </c:barChart>
      <c:catAx>
        <c:axId val="151672704"/>
        <c:scaling>
          <c:orientation val="minMax"/>
        </c:scaling>
        <c:delete val="1"/>
        <c:axPos val="b"/>
        <c:majorTickMark val="none"/>
        <c:tickLblPos val="none"/>
        <c:crossAx val="151674240"/>
        <c:crosses val="autoZero"/>
        <c:auto val="1"/>
        <c:lblAlgn val="ctr"/>
        <c:lblOffset val="100"/>
      </c:catAx>
      <c:valAx>
        <c:axId val="151674240"/>
        <c:scaling>
          <c:orientation val="minMax"/>
        </c:scaling>
        <c:axPos val="l"/>
        <c:majorGridlines/>
        <c:numFmt formatCode="0%" sourceLinked="0"/>
        <c:majorTickMark val="none"/>
        <c:tickLblPos val="nextTo"/>
        <c:txPr>
          <a:bodyPr/>
          <a:lstStyle/>
          <a:p>
            <a:pPr>
              <a:defRPr lang="en-US"/>
            </a:pPr>
            <a:endParaRPr lang="en-US"/>
          </a:p>
        </c:txPr>
        <c:crossAx val="151672704"/>
        <c:crosses val="autoZero"/>
        <c:crossBetween val="between"/>
      </c:valAx>
    </c:plotArea>
    <c:plotVisOnly val="1"/>
    <c:dispBlanksAs val="gap"/>
  </c:chart>
  <c:userShapes r:id="rId1"/>
</c:chartSpace>
</file>

<file path=xl/charts/chart10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sz="1800" b="1" i="0" baseline="0"/>
          </a:p>
          <a:p>
            <a:pPr>
              <a:defRPr/>
            </a:pPr>
            <a:r>
              <a:rPr lang="en-US" sz="1800" b="1" i="0" baseline="0"/>
              <a:t>NOVA SCOTIA 2013</a:t>
            </a:r>
            <a:endParaRPr lang="en-CA" sz="1800" b="1" i="0" baseline="0"/>
          </a:p>
          <a:p>
            <a:pPr>
              <a:defRPr/>
            </a:pPr>
            <a:r>
              <a:rPr lang="en-US" sz="1800" b="1" i="0" baseline="0"/>
              <a:t>$1.1 B</a:t>
            </a:r>
            <a:endParaRPr lang="en-CA"/>
          </a:p>
        </c:rich>
      </c:tx>
    </c:title>
    <c:plotArea>
      <c:layout/>
      <c:pieChart>
        <c:varyColors val="1"/>
        <c:ser>
          <c:idx val="10"/>
          <c:order val="0"/>
          <c:dLbls>
            <c:dLbl>
              <c:idx val="0"/>
              <c:layout>
                <c:manualLayout>
                  <c:x val="0.15096683126706339"/>
                  <c:y val="3.7578745148828592E-2"/>
                </c:manualLayout>
              </c:layout>
              <c:tx>
                <c:rich>
                  <a:bodyPr/>
                  <a:lstStyle/>
                  <a:p>
                    <a:r>
                      <a:rPr lang="en-US"/>
                      <a:t>Disability Tax Measures</a:t>
                    </a:r>
                  </a:p>
                  <a:p>
                    <a:r>
                      <a:rPr lang="en-US"/>
                      <a:t>$68 M</a:t>
                    </a:r>
                  </a:p>
                </c:rich>
              </c:tx>
              <c:showVal val="1"/>
              <c:showCatName val="1"/>
            </c:dLbl>
            <c:dLbl>
              <c:idx val="1"/>
              <c:layout>
                <c:manualLayout>
                  <c:x val="-0.13764114207210132"/>
                  <c:y val="8.2224615194946143E-2"/>
                </c:manualLayout>
              </c:layout>
              <c:tx>
                <c:rich>
                  <a:bodyPr/>
                  <a:lstStyle/>
                  <a:p>
                    <a:r>
                      <a:rPr lang="en-US"/>
                      <a:t>CPP-D</a:t>
                    </a:r>
                  </a:p>
                  <a:p>
                    <a:r>
                      <a:rPr lang="en-US"/>
                      <a:t>$268</a:t>
                    </a:r>
                    <a:r>
                      <a:rPr lang="en-US" baseline="0"/>
                      <a:t> M</a:t>
                    </a:r>
                    <a:endParaRPr lang="en-US"/>
                  </a:p>
                </c:rich>
              </c:tx>
              <c:showVal val="1"/>
              <c:showCatName val="1"/>
            </c:dLbl>
            <c:dLbl>
              <c:idx val="2"/>
              <c:layout>
                <c:manualLayout>
                  <c:x val="6.5166971601818419E-2"/>
                  <c:y val="-3.5644631476198689E-3"/>
                </c:manualLayout>
              </c:layout>
              <c:tx>
                <c:rich>
                  <a:bodyPr/>
                  <a:lstStyle/>
                  <a:p>
                    <a:r>
                      <a:rPr lang="en-US"/>
                      <a:t>EI Sickness</a:t>
                    </a:r>
                  </a:p>
                  <a:p>
                    <a:r>
                      <a:rPr lang="en-US"/>
                      <a:t>$60</a:t>
                    </a:r>
                    <a:r>
                      <a:rPr lang="en-US" baseline="0"/>
                      <a:t> M</a:t>
                    </a:r>
                    <a:endParaRPr lang="en-US"/>
                  </a:p>
                </c:rich>
              </c:tx>
              <c:showVal val="1"/>
              <c:showCatName val="1"/>
            </c:dLbl>
            <c:dLbl>
              <c:idx val="3"/>
              <c:layout>
                <c:manualLayout>
                  <c:x val="-0.10656312941890717"/>
                  <c:y val="-0.13891444970700753"/>
                </c:manualLayout>
              </c:layout>
              <c:tx>
                <c:rich>
                  <a:bodyPr/>
                  <a:lstStyle/>
                  <a:p>
                    <a:r>
                      <a:rPr lang="en-US"/>
                      <a:t>Veterans' Disability Pensions &amp; Awards</a:t>
                    </a:r>
                  </a:p>
                  <a:p>
                    <a:r>
                      <a:rPr lang="en-US"/>
                      <a:t>$192 M</a:t>
                    </a:r>
                  </a:p>
                </c:rich>
              </c:tx>
              <c:showVal val="1"/>
              <c:showCatName val="1"/>
            </c:dLbl>
            <c:dLbl>
              <c:idx val="4"/>
              <c:layout>
                <c:manualLayout>
                  <c:x val="0.13470141266629587"/>
                  <c:y val="-0.14126925772866994"/>
                </c:manualLayout>
              </c:layout>
              <c:tx>
                <c:rich>
                  <a:bodyPr/>
                  <a:lstStyle/>
                  <a:p>
                    <a:r>
                      <a:rPr lang="en-US"/>
                      <a:t>Income Asst. for the Disabled</a:t>
                    </a:r>
                  </a:p>
                  <a:p>
                    <a:r>
                      <a:rPr lang="en-US"/>
                      <a:t>$150 M</a:t>
                    </a:r>
                  </a:p>
                </c:rich>
              </c:tx>
              <c:showVal val="1"/>
              <c:showCatName val="1"/>
            </c:dLbl>
            <c:dLbl>
              <c:idx val="5"/>
              <c:layout>
                <c:manualLayout>
                  <c:x val="-5.4175697083602085E-2"/>
                  <c:y val="2.6912205156492581E-2"/>
                </c:manualLayout>
              </c:layout>
              <c:tx>
                <c:rich>
                  <a:bodyPr/>
                  <a:lstStyle/>
                  <a:p>
                    <a:r>
                      <a:rPr lang="en-US"/>
                      <a:t>First Nations SA for Disabled - $20 M</a:t>
                    </a:r>
                  </a:p>
                </c:rich>
              </c:tx>
              <c:showVal val="1"/>
              <c:showCatName val="1"/>
            </c:dLbl>
            <c:dLbl>
              <c:idx val="6"/>
              <c:layout>
                <c:manualLayout>
                  <c:x val="0.18561491488111229"/>
                  <c:y val="1.4595774373105049E-2"/>
                </c:manualLayout>
              </c:layout>
              <c:tx>
                <c:rich>
                  <a:bodyPr/>
                  <a:lstStyle/>
                  <a:p>
                    <a:r>
                      <a:rPr lang="en-US"/>
                      <a:t>Workers' Compensation</a:t>
                    </a:r>
                  </a:p>
                  <a:p>
                    <a:r>
                      <a:rPr lang="en-US"/>
                      <a:t>$161 M</a:t>
                    </a:r>
                  </a:p>
                </c:rich>
              </c:tx>
              <c:showVal val="1"/>
              <c:showCatName val="1"/>
            </c:dLbl>
            <c:dLbl>
              <c:idx val="7"/>
              <c:layout>
                <c:manualLayout>
                  <c:x val="0.12732513053162062"/>
                  <c:y val="0.19966951344982711"/>
                </c:manualLayout>
              </c:layout>
              <c:tx>
                <c:rich>
                  <a:bodyPr/>
                  <a:lstStyle/>
                  <a:p>
                    <a:r>
                      <a:rPr lang="en-US"/>
                      <a:t>Private Disability Insurance</a:t>
                    </a:r>
                  </a:p>
                  <a:p>
                    <a:r>
                      <a:rPr lang="en-US"/>
                      <a:t>$188</a:t>
                    </a:r>
                    <a:r>
                      <a:rPr lang="en-US" baseline="0"/>
                      <a:t> M</a:t>
                    </a:r>
                    <a:endParaRPr lang="en-US"/>
                  </a:p>
                </c:rich>
              </c:tx>
              <c:showVal val="1"/>
              <c:showCatName val="1"/>
            </c:dLbl>
            <c:txPr>
              <a:bodyPr/>
              <a:lstStyle/>
              <a:p>
                <a:pPr>
                  <a:defRPr sz="1400" b="1"/>
                </a:pPr>
                <a:endParaRPr lang="en-US"/>
              </a:p>
            </c:txPr>
            <c:showVal val="1"/>
            <c:showCatName val="1"/>
            <c:showLeaderLines val="1"/>
          </c:dLbls>
          <c:cat>
            <c:strRef>
              <c:f>(NS!$A$266:$A$271,NS!$A$273:$A$274)</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(NS!$L$266:$L$271,NS!$L$273:$L$274)</c:f>
              <c:numCache>
                <c:formatCode>#,##0.0</c:formatCode>
                <c:ptCount val="8"/>
                <c:pt idx="0">
                  <c:v>68.083874999999992</c:v>
                </c:pt>
                <c:pt idx="1">
                  <c:v>268.39999999999998</c:v>
                </c:pt>
                <c:pt idx="2">
                  <c:v>59.9</c:v>
                </c:pt>
                <c:pt idx="3">
                  <c:v>191.9</c:v>
                </c:pt>
                <c:pt idx="4">
                  <c:v>149.68299999999999</c:v>
                </c:pt>
                <c:pt idx="5">
                  <c:v>20.327859999999998</c:v>
                </c:pt>
                <c:pt idx="6">
                  <c:v>160.69999999999999</c:v>
                </c:pt>
                <c:pt idx="7">
                  <c:v>188</c:v>
                </c:pt>
              </c:numCache>
            </c:numRef>
          </c:val>
        </c:ser>
        <c:dLbls>
          <c:showCatName val="1"/>
          <c:showPercent val="1"/>
        </c:dLbls>
        <c:firstSliceAng val="0"/>
      </c:pieChart>
    </c:plotArea>
    <c:plotVisOnly val="1"/>
    <c:dispBlanksAs val="zero"/>
  </c:chart>
</c:chartSpace>
</file>

<file path=xl/charts/chart10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sz="1800" b="1" i="0" baseline="0"/>
          </a:p>
          <a:p>
            <a:pPr>
              <a:defRPr/>
            </a:pPr>
            <a:r>
              <a:rPr lang="en-US" sz="1800" b="1" i="0" baseline="0"/>
              <a:t>NOVA SCOTIA 2005</a:t>
            </a:r>
            <a:endParaRPr lang="en-CA" sz="1800" b="1" i="0" baseline="0"/>
          </a:p>
          <a:p>
            <a:pPr>
              <a:defRPr/>
            </a:pPr>
            <a:r>
              <a:rPr lang="en-US" sz="1800" b="1" i="0" baseline="0"/>
              <a:t>$823 M</a:t>
            </a:r>
            <a:endParaRPr lang="en-CA"/>
          </a:p>
        </c:rich>
      </c:tx>
    </c:title>
    <c:plotArea>
      <c:layout/>
      <c:pieChart>
        <c:varyColors val="1"/>
        <c:ser>
          <c:idx val="0"/>
          <c:order val="0"/>
          <c:dLbls>
            <c:dLbl>
              <c:idx val="0"/>
              <c:layout>
                <c:manualLayout>
                  <c:x val="0.18785746842006695"/>
                  <c:y val="4.7931988594226323E-2"/>
                </c:manualLayout>
              </c:layout>
              <c:tx>
                <c:rich>
                  <a:bodyPr/>
                  <a:lstStyle/>
                  <a:p>
                    <a:r>
                      <a:rPr lang="en-US"/>
                      <a:t>Disability Tax Measures</a:t>
                    </a:r>
                  </a:p>
                  <a:p>
                    <a:r>
                      <a:rPr lang="en-US"/>
                      <a:t>$50 M</a:t>
                    </a:r>
                  </a:p>
                </c:rich>
              </c:tx>
              <c:showVal val="1"/>
              <c:showCatName val="1"/>
            </c:dLbl>
            <c:dLbl>
              <c:idx val="1"/>
              <c:layout>
                <c:manualLayout>
                  <c:x val="-0.13368638457627868"/>
                  <c:y val="5.7692796530733323E-2"/>
                </c:manualLayout>
              </c:layout>
              <c:tx>
                <c:rich>
                  <a:bodyPr/>
                  <a:lstStyle/>
                  <a:p>
                    <a:r>
                      <a:rPr lang="en-US"/>
                      <a:t>CPP-D</a:t>
                    </a:r>
                  </a:p>
                  <a:p>
                    <a:r>
                      <a:rPr lang="en-US"/>
                      <a:t>$234</a:t>
                    </a:r>
                    <a:r>
                      <a:rPr lang="en-US" baseline="0"/>
                      <a:t> M</a:t>
                    </a:r>
                    <a:endParaRPr lang="en-US"/>
                  </a:p>
                </c:rich>
              </c:tx>
              <c:showVal val="1"/>
              <c:showCatName val="1"/>
            </c:dLbl>
            <c:dLbl>
              <c:idx val="2"/>
              <c:layout>
                <c:manualLayout>
                  <c:x val="7.642915862809628E-2"/>
                  <c:y val="-2.2178281622456691E-2"/>
                </c:manualLayout>
              </c:layout>
              <c:tx>
                <c:rich>
                  <a:bodyPr/>
                  <a:lstStyle/>
                  <a:p>
                    <a:r>
                      <a:rPr lang="en-US"/>
                      <a:t>EI Sickness</a:t>
                    </a:r>
                  </a:p>
                  <a:p>
                    <a:r>
                      <a:rPr lang="en-US"/>
                      <a:t>$37 M</a:t>
                    </a:r>
                  </a:p>
                </c:rich>
              </c:tx>
              <c:showVal val="1"/>
              <c:showCatName val="1"/>
            </c:dLbl>
            <c:dLbl>
              <c:idx val="3"/>
              <c:tx>
                <c:rich>
                  <a:bodyPr/>
                  <a:lstStyle/>
                  <a:p>
                    <a:r>
                      <a:rPr lang="en-US"/>
                      <a:t>Veterans' Disability Pensions &amp; Awards</a:t>
                    </a:r>
                  </a:p>
                  <a:p>
                    <a:r>
                      <a:rPr lang="en-US"/>
                      <a:t>$118 M</a:t>
                    </a:r>
                  </a:p>
                </c:rich>
              </c:tx>
              <c:showVal val="1"/>
              <c:showCatName val="1"/>
            </c:dLbl>
            <c:dLbl>
              <c:idx val="4"/>
              <c:layout>
                <c:manualLayout>
                  <c:x val="0.14452103960281851"/>
                  <c:y val="-0.14354272303632026"/>
                </c:manualLayout>
              </c:layout>
              <c:tx>
                <c:rich>
                  <a:bodyPr/>
                  <a:lstStyle/>
                  <a:p>
                    <a:r>
                      <a:rPr lang="en-US"/>
                      <a:t>Income Asst. for the Disabled $120</a:t>
                    </a:r>
                    <a:r>
                      <a:rPr lang="en-US" baseline="0"/>
                      <a:t> M</a:t>
                    </a:r>
                    <a:endParaRPr lang="en-US"/>
                  </a:p>
                </c:rich>
              </c:tx>
              <c:showVal val="1"/>
              <c:showCatName val="1"/>
            </c:dLbl>
            <c:dLbl>
              <c:idx val="5"/>
              <c:layout>
                <c:manualLayout>
                  <c:x val="-3.1250432491232535E-2"/>
                  <c:y val="4.4539584351441258E-2"/>
                </c:manualLayout>
              </c:layout>
              <c:tx>
                <c:rich>
                  <a:bodyPr/>
                  <a:lstStyle/>
                  <a:p>
                    <a:r>
                      <a:rPr lang="en-US"/>
                      <a:t>First Nations SA for Disabled - $19</a:t>
                    </a:r>
                    <a:r>
                      <a:rPr lang="en-US" baseline="0"/>
                      <a:t> M</a:t>
                    </a:r>
                    <a:endParaRPr lang="en-US"/>
                  </a:p>
                </c:rich>
              </c:tx>
              <c:showVal val="1"/>
              <c:showCatName val="1"/>
            </c:dLbl>
            <c:dLbl>
              <c:idx val="6"/>
              <c:layout>
                <c:manualLayout>
                  <c:x val="0.17860855691400088"/>
                  <c:y val="7.1141988155738273E-2"/>
                </c:manualLayout>
              </c:layout>
              <c:tx>
                <c:rich>
                  <a:bodyPr/>
                  <a:lstStyle/>
                  <a:p>
                    <a:r>
                      <a:rPr lang="en-US"/>
                      <a:t>Workers' Compensation</a:t>
                    </a:r>
                  </a:p>
                  <a:p>
                    <a:r>
                      <a:rPr lang="en-US"/>
                      <a:t>$152</a:t>
                    </a:r>
                    <a:r>
                      <a:rPr lang="en-US" baseline="0"/>
                      <a:t> M</a:t>
                    </a:r>
                    <a:endParaRPr lang="en-US"/>
                  </a:p>
                </c:rich>
              </c:tx>
              <c:showVal val="1"/>
              <c:showCatName val="1"/>
            </c:dLbl>
            <c:dLbl>
              <c:idx val="7"/>
              <c:layout>
                <c:manualLayout>
                  <c:x val="9.9720541465183526E-2"/>
                  <c:y val="0.18209821624325034"/>
                </c:manualLayout>
              </c:layout>
              <c:tx>
                <c:rich>
                  <a:bodyPr/>
                  <a:lstStyle/>
                  <a:p>
                    <a:r>
                      <a:rPr lang="en-US"/>
                      <a:t>Private Disability Insurance</a:t>
                    </a:r>
                  </a:p>
                  <a:p>
                    <a:r>
                      <a:rPr lang="en-US"/>
                      <a:t>$94</a:t>
                    </a:r>
                    <a:r>
                      <a:rPr lang="en-US" baseline="0"/>
                      <a:t> M</a:t>
                    </a:r>
                    <a:endParaRPr lang="en-US"/>
                  </a:p>
                </c:rich>
              </c:tx>
              <c:showVal val="1"/>
              <c:showCatName val="1"/>
            </c:dLbl>
            <c:txPr>
              <a:bodyPr/>
              <a:lstStyle/>
              <a:p>
                <a:pPr>
                  <a:defRPr sz="1400" b="1"/>
                </a:pPr>
                <a:endParaRPr lang="en-US"/>
              </a:p>
            </c:txPr>
            <c:showVal val="1"/>
            <c:showCatName val="1"/>
            <c:showLeaderLines val="1"/>
          </c:dLbls>
          <c:cat>
            <c:strRef>
              <c:f>(NS!$A$266:$A$271,NS!$A$273:$A$274)</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(NS!$B$266:$B$271,NS!$B$273:$B$274)</c:f>
              <c:numCache>
                <c:formatCode>#,##0.0</c:formatCode>
                <c:ptCount val="8"/>
                <c:pt idx="0">
                  <c:v>49.59</c:v>
                </c:pt>
                <c:pt idx="1">
                  <c:v>233.8</c:v>
                </c:pt>
                <c:pt idx="2">
                  <c:v>37.1</c:v>
                </c:pt>
                <c:pt idx="3">
                  <c:v>117.57599999999999</c:v>
                </c:pt>
                <c:pt idx="4">
                  <c:v>119.46000000000001</c:v>
                </c:pt>
                <c:pt idx="5">
                  <c:v>19.305000000000003</c:v>
                </c:pt>
                <c:pt idx="6">
                  <c:v>151.80000000000001</c:v>
                </c:pt>
                <c:pt idx="7">
                  <c:v>94</c:v>
                </c:pt>
              </c:numCache>
            </c:numRef>
          </c:val>
        </c:ser>
        <c:dLbls>
          <c:showCatName val="1"/>
          <c:showPercent val="1"/>
        </c:dLbls>
        <c:firstSliceAng val="0"/>
      </c:pieChart>
    </c:plotArea>
    <c:plotVisOnly val="1"/>
    <c:dispBlanksAs val="zero"/>
  </c:chart>
</c:chartSpace>
</file>

<file path=xl/charts/chart10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DISABILITY BENEFIT EXPENDITURES</a:t>
            </a:r>
            <a:endParaRPr lang="en-CA"/>
          </a:p>
          <a:p>
            <a:pPr>
              <a:defRPr/>
            </a:pPr>
            <a:r>
              <a:rPr lang="en-US" sz="1800" b="1" i="0" baseline="0"/>
              <a:t>NOVA SCOTIA 2011-12</a:t>
            </a:r>
            <a:endParaRPr lang="en-CA"/>
          </a:p>
          <a:p>
            <a:pPr>
              <a:defRPr/>
            </a:pPr>
            <a:r>
              <a:rPr lang="en-US" sz="1800" b="1" i="0" baseline="0"/>
              <a:t>$991 M</a:t>
            </a:r>
            <a:endParaRPr lang="en-CA"/>
          </a:p>
        </c:rich>
      </c:tx>
    </c:title>
    <c:plotArea>
      <c:layout/>
      <c:pieChart>
        <c:varyColors val="1"/>
        <c:ser>
          <c:idx val="6"/>
          <c:order val="0"/>
          <c:dLbls>
            <c:dLbl>
              <c:idx val="0"/>
              <c:tx>
                <c:rich>
                  <a:bodyPr/>
                  <a:lstStyle/>
                  <a:p>
                    <a:r>
                      <a:rPr lang="en-US"/>
                      <a:t>Disability Tax Measures</a:t>
                    </a:r>
                  </a:p>
                  <a:p>
                    <a:r>
                      <a:rPr lang="en-US"/>
                      <a:t>$65 M</a:t>
                    </a:r>
                  </a:p>
                </c:rich>
              </c:tx>
              <c:showVal val="1"/>
              <c:showCatName val="1"/>
            </c:dLbl>
            <c:dLbl>
              <c:idx val="1"/>
              <c:layout>
                <c:manualLayout>
                  <c:x val="-0.14874578695874024"/>
                  <c:y val="4.1846695674664695E-2"/>
                </c:manualLayout>
              </c:layout>
              <c:tx>
                <c:rich>
                  <a:bodyPr/>
                  <a:lstStyle/>
                  <a:p>
                    <a:r>
                      <a:rPr lang="en-US"/>
                      <a:t>CPP-D</a:t>
                    </a:r>
                  </a:p>
                  <a:p>
                    <a:r>
                      <a:rPr lang="en-US"/>
                      <a:t>$267 M</a:t>
                    </a:r>
                  </a:p>
                </c:rich>
              </c:tx>
              <c:showVal val="1"/>
              <c:showCatName val="1"/>
            </c:dLbl>
            <c:dLbl>
              <c:idx val="2"/>
              <c:layout>
                <c:manualLayout>
                  <c:x val="-8.4977607333944147E-2"/>
                  <c:y val="-7.1985283323663302E-2"/>
                </c:manualLayout>
              </c:layout>
              <c:tx>
                <c:rich>
                  <a:bodyPr/>
                  <a:lstStyle/>
                  <a:p>
                    <a:r>
                      <a:rPr lang="en-US"/>
                      <a:t>EI Sickness</a:t>
                    </a:r>
                  </a:p>
                  <a:p>
                    <a:r>
                      <a:rPr lang="en-US"/>
                      <a:t>$52</a:t>
                    </a:r>
                    <a:r>
                      <a:rPr lang="en-US" baseline="0"/>
                      <a:t> M</a:t>
                    </a:r>
                    <a:endParaRPr lang="en-US"/>
                  </a:p>
                </c:rich>
              </c:tx>
              <c:showVal val="1"/>
              <c:showCatName val="1"/>
            </c:dLbl>
            <c:dLbl>
              <c:idx val="3"/>
              <c:layout>
                <c:manualLayout>
                  <c:x val="-4.5663173982803722E-2"/>
                  <c:y val="-0.14561314930391608"/>
                </c:manualLayout>
              </c:layout>
              <c:tx>
                <c:rich>
                  <a:bodyPr/>
                  <a:lstStyle/>
                  <a:p>
                    <a:r>
                      <a:rPr lang="en-US"/>
                      <a:t>Veterans' Disability Pensions &amp; Awards</a:t>
                    </a:r>
                  </a:p>
                  <a:p>
                    <a:r>
                      <a:rPr lang="en-US"/>
                      <a:t>$176 M</a:t>
                    </a:r>
                  </a:p>
                </c:rich>
              </c:tx>
              <c:showVal val="1"/>
              <c:showCatName val="1"/>
            </c:dLbl>
            <c:dLbl>
              <c:idx val="4"/>
              <c:layout>
                <c:manualLayout>
                  <c:x val="0.14699154485407037"/>
                  <c:y val="-0.14202914484023582"/>
                </c:manualLayout>
              </c:layout>
              <c:tx>
                <c:rich>
                  <a:bodyPr/>
                  <a:lstStyle/>
                  <a:p>
                    <a:r>
                      <a:rPr lang="en-US"/>
                      <a:t>Income Asst. for the Disabled</a:t>
                    </a:r>
                  </a:p>
                  <a:p>
                    <a:r>
                      <a:rPr lang="en-US"/>
                      <a:t>$135</a:t>
                    </a:r>
                    <a:r>
                      <a:rPr lang="en-US" baseline="0"/>
                      <a:t> M</a:t>
                    </a:r>
                    <a:endParaRPr lang="en-US"/>
                  </a:p>
                </c:rich>
              </c:tx>
              <c:showVal val="1"/>
              <c:showCatName val="1"/>
            </c:dLbl>
            <c:dLbl>
              <c:idx val="5"/>
              <c:layout>
                <c:manualLayout>
                  <c:x val="-1.9989110447419814E-2"/>
                  <c:y val="7.3179368945766654E-2"/>
                </c:manualLayout>
              </c:layout>
              <c:tx>
                <c:rich>
                  <a:bodyPr/>
                  <a:lstStyle/>
                  <a:p>
                    <a:r>
                      <a:rPr lang="en-US"/>
                      <a:t>First Nations SA for Disabled</a:t>
                    </a:r>
                  </a:p>
                  <a:p>
                    <a:r>
                      <a:rPr lang="en-US"/>
                      <a:t>$18 M</a:t>
                    </a:r>
                  </a:p>
                </c:rich>
              </c:tx>
              <c:showVal val="1"/>
              <c:showCatName val="1"/>
            </c:dLbl>
            <c:dLbl>
              <c:idx val="6"/>
              <c:layout>
                <c:manualLayout>
                  <c:x val="0.19972352853796291"/>
                  <c:y val="8.1642188652818484E-2"/>
                </c:manualLayout>
              </c:layout>
              <c:tx>
                <c:rich>
                  <a:bodyPr/>
                  <a:lstStyle/>
                  <a:p>
                    <a:r>
                      <a:rPr lang="en-US"/>
                      <a:t>Workers' Compensation</a:t>
                    </a:r>
                  </a:p>
                  <a:p>
                    <a:r>
                      <a:rPr lang="en-US"/>
                      <a:t>$150</a:t>
                    </a:r>
                    <a:r>
                      <a:rPr lang="en-US" baseline="0"/>
                      <a:t> M</a:t>
                    </a:r>
                    <a:endParaRPr lang="en-US"/>
                  </a:p>
                </c:rich>
              </c:tx>
              <c:showVal val="1"/>
              <c:showCatName val="1"/>
            </c:dLbl>
            <c:dLbl>
              <c:idx val="7"/>
              <c:layout>
                <c:manualLayout>
                  <c:x val="9.862437801994349E-2"/>
                  <c:y val="0.15917879446284894"/>
                </c:manualLayout>
              </c:layout>
              <c:tx>
                <c:rich>
                  <a:bodyPr/>
                  <a:lstStyle/>
                  <a:p>
                    <a:r>
                      <a:rPr lang="en-US"/>
                      <a:t>Private Disability Insurance</a:t>
                    </a:r>
                  </a:p>
                  <a:p>
                    <a:r>
                      <a:rPr lang="en-US"/>
                      <a:t>$128 M</a:t>
                    </a:r>
                  </a:p>
                </c:rich>
              </c:tx>
              <c:showVal val="1"/>
              <c:showCatName val="1"/>
            </c:dLbl>
            <c:txPr>
              <a:bodyPr/>
              <a:lstStyle/>
              <a:p>
                <a:pPr>
                  <a:defRPr sz="1200" b="1"/>
                </a:pPr>
                <a:endParaRPr lang="en-US"/>
              </a:p>
            </c:txPr>
            <c:showVal val="1"/>
            <c:showCatName val="1"/>
            <c:showLeaderLines val="1"/>
          </c:dLbls>
          <c:cat>
            <c:strRef>
              <c:f>(NS!$A$266:$A$271,NS!$A$273:$A$274)</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(NS!$H$266:$H$271,NS!$H$273:$H$274)</c:f>
              <c:numCache>
                <c:formatCode>#,##0.0</c:formatCode>
                <c:ptCount val="8"/>
                <c:pt idx="0">
                  <c:v>64.636880000000005</c:v>
                </c:pt>
                <c:pt idx="1">
                  <c:v>267.2</c:v>
                </c:pt>
                <c:pt idx="2">
                  <c:v>52.2</c:v>
                </c:pt>
                <c:pt idx="3">
                  <c:v>176.39999999999998</c:v>
                </c:pt>
                <c:pt idx="4">
                  <c:v>134.91500000000002</c:v>
                </c:pt>
                <c:pt idx="5">
                  <c:v>18.216000000000005</c:v>
                </c:pt>
                <c:pt idx="6">
                  <c:v>149.80000000000001</c:v>
                </c:pt>
                <c:pt idx="7">
                  <c:v>128</c:v>
                </c:pt>
              </c:numCache>
            </c:numRef>
          </c:val>
        </c:ser>
        <c:dLbls>
          <c:showCatName val="1"/>
          <c:showPercent val="1"/>
        </c:dLbls>
        <c:firstSliceAng val="0"/>
      </c:pieChart>
    </c:plotArea>
    <c:plotVisOnly val="1"/>
    <c:dispBlanksAs val="zero"/>
  </c:chart>
</c:chartSpace>
</file>

<file path=xl/charts/chart10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p>
          <a:p>
            <a:pPr>
              <a:defRPr lang="en-US"/>
            </a:pPr>
            <a:r>
              <a:rPr lang="en-US" sz="1800" b="1" i="0" baseline="0"/>
              <a:t>NOVA SCOTIA 2010-11</a:t>
            </a:r>
          </a:p>
          <a:p>
            <a:pPr>
              <a:defRPr lang="en-US"/>
            </a:pPr>
            <a:r>
              <a:rPr lang="en-US" sz="1800" b="1" i="0" baseline="0"/>
              <a:t>$962 M</a:t>
            </a:r>
            <a:endParaRPr lang="en-US"/>
          </a:p>
        </c:rich>
      </c:tx>
    </c:title>
    <c:plotArea>
      <c:layout/>
      <c:pieChart>
        <c:varyColors val="1"/>
        <c:ser>
          <c:idx val="4"/>
          <c:order val="0"/>
          <c:dLbls>
            <c:dLbl>
              <c:idx val="0"/>
              <c:layout>
                <c:manualLayout>
                  <c:x val="9.2844173148475526E-2"/>
                  <c:y val="2.6677324052350296E-2"/>
                </c:manualLayout>
              </c:layout>
              <c:tx>
                <c:rich>
                  <a:bodyPr/>
                  <a:lstStyle/>
                  <a:p>
                    <a:r>
                      <a:rPr lang="en-US"/>
                      <a:t>Disability Tax Measures $59</a:t>
                    </a:r>
                    <a:r>
                      <a:rPr lang="en-US" baseline="0"/>
                      <a:t> M</a:t>
                    </a:r>
                    <a:endParaRPr lang="en-US"/>
                  </a:p>
                </c:rich>
              </c:tx>
              <c:showVal val="1"/>
              <c:showCatName val="1"/>
            </c:dLbl>
            <c:dLbl>
              <c:idx val="1"/>
              <c:layout>
                <c:manualLayout>
                  <c:x val="-0.14658008966319491"/>
                  <c:y val="5.2264731491971833E-2"/>
                </c:manualLayout>
              </c:layout>
              <c:tx>
                <c:rich>
                  <a:bodyPr/>
                  <a:lstStyle/>
                  <a:p>
                    <a:r>
                      <a:rPr lang="en-US"/>
                      <a:t>CPP-D</a:t>
                    </a:r>
                  </a:p>
                  <a:p>
                    <a:r>
                      <a:rPr lang="en-US"/>
                      <a:t>$256 M</a:t>
                    </a:r>
                  </a:p>
                </c:rich>
              </c:tx>
              <c:showVal val="1"/>
              <c:showCatName val="1"/>
            </c:dLbl>
            <c:dLbl>
              <c:idx val="2"/>
              <c:layout>
                <c:manualLayout>
                  <c:x val="-8.6820856384695763E-2"/>
                  <c:y val="-6.7395796067665936E-2"/>
                </c:manualLayout>
              </c:layout>
              <c:tx>
                <c:rich>
                  <a:bodyPr/>
                  <a:lstStyle/>
                  <a:p>
                    <a:r>
                      <a:rPr lang="en-US"/>
                      <a:t>EI Sickness </a:t>
                    </a:r>
                  </a:p>
                  <a:p>
                    <a:r>
                      <a:rPr lang="en-US"/>
                      <a:t>$49</a:t>
                    </a:r>
                    <a:r>
                      <a:rPr lang="en-US" baseline="0"/>
                      <a:t> M</a:t>
                    </a:r>
                    <a:endParaRPr lang="en-US"/>
                  </a:p>
                </c:rich>
              </c:tx>
              <c:showVal val="1"/>
              <c:showCatName val="1"/>
            </c:dLbl>
            <c:dLbl>
              <c:idx val="3"/>
              <c:layout>
                <c:manualLayout>
                  <c:x val="-6.6140838655803461E-2"/>
                  <c:y val="-0.13434956246204671"/>
                </c:manualLayout>
              </c:layout>
              <c:tx>
                <c:rich>
                  <a:bodyPr/>
                  <a:lstStyle/>
                  <a:p>
                    <a:r>
                      <a:rPr lang="en-US"/>
                      <a:t>Veterans' Disability Pensions &amp; Awards</a:t>
                    </a:r>
                  </a:p>
                  <a:p>
                    <a:r>
                      <a:rPr lang="en-US"/>
                      <a:t>$179 M</a:t>
                    </a:r>
                  </a:p>
                </c:rich>
              </c:tx>
              <c:showVal val="1"/>
              <c:showCatName val="1"/>
            </c:dLbl>
            <c:dLbl>
              <c:idx val="4"/>
              <c:layout>
                <c:manualLayout>
                  <c:x val="0.14234331816513177"/>
                  <c:y val="-0.14081922621158188"/>
                </c:manualLayout>
              </c:layout>
              <c:tx>
                <c:rich>
                  <a:bodyPr/>
                  <a:lstStyle/>
                  <a:p>
                    <a:r>
                      <a:rPr lang="en-US"/>
                      <a:t>Income Asst. for </a:t>
                    </a:r>
                  </a:p>
                  <a:p>
                    <a:r>
                      <a:rPr lang="en-US"/>
                      <a:t>the Disabled</a:t>
                    </a:r>
                  </a:p>
                  <a:p>
                    <a:r>
                      <a:rPr lang="en-US"/>
                      <a:t>$127</a:t>
                    </a:r>
                    <a:r>
                      <a:rPr lang="en-US" baseline="0"/>
                      <a:t> M</a:t>
                    </a:r>
                    <a:endParaRPr lang="en-US"/>
                  </a:p>
                </c:rich>
              </c:tx>
              <c:showVal val="1"/>
              <c:showCatName val="1"/>
            </c:dLbl>
            <c:dLbl>
              <c:idx val="5"/>
              <c:layout>
                <c:manualLayout>
                  <c:x val="-1.4933686067263301E-2"/>
                  <c:y val="3.6377058136187038E-2"/>
                </c:manualLayout>
              </c:layout>
              <c:tx>
                <c:rich>
                  <a:bodyPr/>
                  <a:lstStyle/>
                  <a:p>
                    <a:r>
                      <a:rPr lang="en-US"/>
                      <a:t>First Nations SA for Disabled</a:t>
                    </a:r>
                  </a:p>
                  <a:p>
                    <a:r>
                      <a:rPr lang="en-US"/>
                      <a:t>$18 M</a:t>
                    </a:r>
                  </a:p>
                </c:rich>
              </c:tx>
              <c:showVal val="1"/>
              <c:showCatName val="1"/>
            </c:dLbl>
            <c:dLbl>
              <c:idx val="6"/>
              <c:layout>
                <c:manualLayout>
                  <c:x val="0.20407763327149603"/>
                  <c:y val="7.4978390542183929E-2"/>
                </c:manualLayout>
              </c:layout>
              <c:tx>
                <c:rich>
                  <a:bodyPr/>
                  <a:lstStyle/>
                  <a:p>
                    <a:r>
                      <a:rPr lang="en-US"/>
                      <a:t>Workers' Compensation $149</a:t>
                    </a:r>
                    <a:r>
                      <a:rPr lang="en-US" baseline="0"/>
                      <a:t> M</a:t>
                    </a:r>
                    <a:endParaRPr lang="en-US"/>
                  </a:p>
                </c:rich>
              </c:tx>
              <c:showVal val="1"/>
              <c:showCatName val="1"/>
            </c:dLbl>
            <c:dLbl>
              <c:idx val="7"/>
              <c:layout>
                <c:manualLayout>
                  <c:x val="0.1003546354295234"/>
                  <c:y val="0.16752004053023448"/>
                </c:manualLayout>
              </c:layout>
              <c:tx>
                <c:rich>
                  <a:bodyPr/>
                  <a:lstStyle/>
                  <a:p>
                    <a:r>
                      <a:rPr lang="en-US"/>
                      <a:t>Private Disability Insurance</a:t>
                    </a:r>
                  </a:p>
                  <a:p>
                    <a:r>
                      <a:rPr lang="en-US"/>
                      <a:t>$125</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(NS!$A$266:$A$271,NS!$A$273:$A$274)</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(NS!$F$266:$F$271,NS!$F$273:$F$274)</c:f>
              <c:numCache>
                <c:formatCode>#,##0.0</c:formatCode>
                <c:ptCount val="8"/>
                <c:pt idx="0">
                  <c:v>59.140800000000006</c:v>
                </c:pt>
                <c:pt idx="1">
                  <c:v>255.7</c:v>
                </c:pt>
                <c:pt idx="2">
                  <c:v>48.9</c:v>
                </c:pt>
                <c:pt idx="3">
                  <c:v>178.9</c:v>
                </c:pt>
                <c:pt idx="4">
                  <c:v>127.435</c:v>
                </c:pt>
                <c:pt idx="5">
                  <c:v>18.367800000000003</c:v>
                </c:pt>
                <c:pt idx="6">
                  <c:v>148.9</c:v>
                </c:pt>
                <c:pt idx="7">
                  <c:v>125</c:v>
                </c:pt>
              </c:numCache>
            </c:numRef>
          </c:val>
        </c:ser>
        <c:dLbls>
          <c:showCatName val="1"/>
          <c:showPercent val="1"/>
        </c:dLbls>
        <c:firstSliceAng val="0"/>
      </c:pieChart>
    </c:plotArea>
    <c:plotVisOnly val="1"/>
    <c:dispBlanksAs val="zero"/>
  </c:chart>
</c:chartSpace>
</file>

<file path=xl/charts/chart10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NOVA SCOTIA 2009-10</a:t>
            </a:r>
            <a:endParaRPr lang="en-US"/>
          </a:p>
          <a:p>
            <a:pPr>
              <a:defRPr lang="en-US"/>
            </a:pPr>
            <a:r>
              <a:rPr lang="en-US" sz="1800" b="1" i="0" baseline="0"/>
              <a:t>$921 M</a:t>
            </a:r>
            <a:endParaRPr lang="en-US"/>
          </a:p>
        </c:rich>
      </c:tx>
    </c:title>
    <c:plotArea>
      <c:layout/>
      <c:pieChart>
        <c:varyColors val="1"/>
        <c:ser>
          <c:idx val="2"/>
          <c:order val="0"/>
          <c:dLbls>
            <c:dLbl>
              <c:idx val="0"/>
              <c:tx>
                <c:rich>
                  <a:bodyPr/>
                  <a:lstStyle/>
                  <a:p>
                    <a:r>
                      <a:rPr lang="en-US" sz="1200" baseline="0"/>
                      <a:t>D</a:t>
                    </a:r>
                    <a:r>
                      <a:rPr lang="en-US"/>
                      <a:t>isability Tax Measures $57 M</a:t>
                    </a:r>
                  </a:p>
                </c:rich>
              </c:tx>
              <c:showVal val="1"/>
              <c:showCatName val="1"/>
            </c:dLbl>
            <c:dLbl>
              <c:idx val="1"/>
              <c:layout>
                <c:manualLayout>
                  <c:x val="-0.11305993687943335"/>
                  <c:y val="4.6601513979406664E-2"/>
                </c:manualLayout>
              </c:layout>
              <c:tx>
                <c:rich>
                  <a:bodyPr/>
                  <a:lstStyle/>
                  <a:p>
                    <a:r>
                      <a:rPr lang="en-US" sz="1200" baseline="0"/>
                      <a:t>C</a:t>
                    </a:r>
                    <a:r>
                      <a:rPr lang="en-US"/>
                      <a:t>PP-D</a:t>
                    </a:r>
                  </a:p>
                  <a:p>
                    <a:r>
                      <a:rPr lang="en-US"/>
                      <a:t>$ 248</a:t>
                    </a:r>
                    <a:r>
                      <a:rPr lang="en-US" baseline="0"/>
                      <a:t> M</a:t>
                    </a:r>
                    <a:endParaRPr lang="en-US"/>
                  </a:p>
                </c:rich>
              </c:tx>
              <c:showVal val="1"/>
              <c:showCatName val="1"/>
            </c:dLbl>
            <c:dLbl>
              <c:idx val="2"/>
              <c:tx>
                <c:rich>
                  <a:bodyPr/>
                  <a:lstStyle/>
                  <a:p>
                    <a:r>
                      <a:rPr lang="en-US" sz="1200" baseline="0"/>
                      <a:t>E</a:t>
                    </a:r>
                    <a:r>
                      <a:rPr lang="en-US"/>
                      <a:t>I Sickness </a:t>
                    </a:r>
                  </a:p>
                  <a:p>
                    <a:r>
                      <a:rPr lang="en-US"/>
                      <a:t>$50</a:t>
                    </a:r>
                    <a:r>
                      <a:rPr lang="en-US" baseline="0"/>
                      <a:t> M</a:t>
                    </a:r>
                    <a:endParaRPr lang="en-US"/>
                  </a:p>
                </c:rich>
              </c:tx>
              <c:showVal val="1"/>
              <c:showCatName val="1"/>
            </c:dLbl>
            <c:dLbl>
              <c:idx val="3"/>
              <c:layout>
                <c:manualLayout>
                  <c:x val="-6.2562158868098391E-2"/>
                  <c:y val="-0.14071923386179622"/>
                </c:manualLayout>
              </c:layout>
              <c:tx>
                <c:rich>
                  <a:bodyPr/>
                  <a:lstStyle/>
                  <a:p>
                    <a:r>
                      <a:rPr lang="en-US" sz="1200" baseline="0"/>
                      <a:t>V</a:t>
                    </a:r>
                    <a:r>
                      <a:rPr lang="en-US"/>
                      <a:t>eterans' Disability Pensions,</a:t>
                    </a:r>
                  </a:p>
                  <a:p>
                    <a:r>
                      <a:rPr lang="en-US"/>
                      <a:t>$152</a:t>
                    </a:r>
                    <a:r>
                      <a:rPr lang="en-US" baseline="0"/>
                      <a:t> M</a:t>
                    </a:r>
                    <a:endParaRPr lang="en-US"/>
                  </a:p>
                </c:rich>
              </c:tx>
              <c:showVal val="1"/>
              <c:showCatName val="1"/>
            </c:dLbl>
            <c:dLbl>
              <c:idx val="4"/>
              <c:layout>
                <c:manualLayout>
                  <c:x val="0.13186784186253844"/>
                  <c:y val="-0.14422150559274671"/>
                </c:manualLayout>
              </c:layout>
              <c:tx>
                <c:rich>
                  <a:bodyPr/>
                  <a:lstStyle/>
                  <a:p>
                    <a:r>
                      <a:rPr lang="en-US" sz="1200" baseline="0"/>
                      <a:t>I</a:t>
                    </a:r>
                    <a:r>
                      <a:rPr lang="en-US"/>
                      <a:t>ncome Asst. for the Disabled</a:t>
                    </a:r>
                  </a:p>
                  <a:p>
                    <a:r>
                      <a:rPr lang="en-US"/>
                      <a:t>$ 123</a:t>
                    </a:r>
                    <a:r>
                      <a:rPr lang="en-US" baseline="0"/>
                      <a:t> M</a:t>
                    </a:r>
                    <a:endParaRPr lang="en-US"/>
                  </a:p>
                </c:rich>
              </c:tx>
              <c:showVal val="1"/>
              <c:showCatName val="1"/>
            </c:dLbl>
            <c:dLbl>
              <c:idx val="5"/>
              <c:layout>
                <c:manualLayout>
                  <c:x val="-6.0150769323672332E-3"/>
                  <c:y val="2.9205860757955206E-2"/>
                </c:manualLayout>
              </c:layout>
              <c:tx>
                <c:rich>
                  <a:bodyPr/>
                  <a:lstStyle/>
                  <a:p>
                    <a:r>
                      <a:rPr lang="en-US" sz="1200" baseline="0"/>
                      <a:t>F</a:t>
                    </a:r>
                    <a:r>
                      <a:rPr lang="en-US"/>
                      <a:t>irst Nations SA for Disabled $18</a:t>
                    </a:r>
                    <a:r>
                      <a:rPr lang="en-US" baseline="0"/>
                      <a:t> M</a:t>
                    </a:r>
                    <a:endParaRPr lang="en-US"/>
                  </a:p>
                </c:rich>
              </c:tx>
              <c:showVal val="1"/>
              <c:showCatName val="1"/>
            </c:dLbl>
            <c:dLbl>
              <c:idx val="6"/>
              <c:layout>
                <c:manualLayout>
                  <c:x val="0.19963163920094587"/>
                  <c:y val="7.0460640947789102E-2"/>
                </c:manualLayout>
              </c:layout>
              <c:tx>
                <c:rich>
                  <a:bodyPr/>
                  <a:lstStyle/>
                  <a:p>
                    <a:r>
                      <a:rPr lang="en-US" sz="1200" baseline="0"/>
                      <a:t>W</a:t>
                    </a:r>
                    <a:r>
                      <a:rPr lang="en-US"/>
                      <a:t>orker's Compensation $151</a:t>
                    </a:r>
                    <a:r>
                      <a:rPr lang="en-US" baseline="0"/>
                      <a:t> M</a:t>
                    </a:r>
                    <a:endParaRPr lang="en-US"/>
                  </a:p>
                </c:rich>
              </c:tx>
              <c:showVal val="1"/>
              <c:showCatName val="1"/>
            </c:dLbl>
            <c:dLbl>
              <c:idx val="7"/>
              <c:tx>
                <c:rich>
                  <a:bodyPr/>
                  <a:lstStyle/>
                  <a:p>
                    <a:r>
                      <a:rPr lang="en-US" sz="1200" baseline="0"/>
                      <a:t>P</a:t>
                    </a:r>
                    <a:r>
                      <a:rPr lang="en-US"/>
                      <a:t>rivate Disability Insurance </a:t>
                    </a:r>
                  </a:p>
                  <a:p>
                    <a:r>
                      <a:rPr lang="en-US"/>
                      <a:t>$122</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(NS!$A$266:$A$271,NS!$A$273:$A$274)</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(NS!$D$266:$D$271,NS!$D$273:$D$274)</c:f>
              <c:numCache>
                <c:formatCode>#,##0.0</c:formatCode>
                <c:ptCount val="8"/>
                <c:pt idx="0">
                  <c:v>57.358000000000004</c:v>
                </c:pt>
                <c:pt idx="1">
                  <c:v>248.2</c:v>
                </c:pt>
                <c:pt idx="2">
                  <c:v>50</c:v>
                </c:pt>
                <c:pt idx="3">
                  <c:v>152.26499999999999</c:v>
                </c:pt>
                <c:pt idx="4">
                  <c:v>122.87000000000002</c:v>
                </c:pt>
                <c:pt idx="5">
                  <c:v>18.04</c:v>
                </c:pt>
                <c:pt idx="6">
                  <c:v>150.6</c:v>
                </c:pt>
                <c:pt idx="7">
                  <c:v>122</c:v>
                </c:pt>
              </c:numCache>
            </c:numRef>
          </c:val>
        </c:ser>
        <c:dLbls>
          <c:showCatName val="1"/>
          <c:showPercent val="1"/>
        </c:dLbls>
        <c:firstSliceAng val="0"/>
      </c:pieChart>
    </c:plotArea>
    <c:plotVisOnly val="1"/>
    <c:dispBlanksAs val="zero"/>
  </c:chart>
  <c:userShapes r:id="rId1"/>
</c:chartSpace>
</file>

<file path=xl/charts/chart10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p>
          <a:p>
            <a:pPr>
              <a:defRPr/>
            </a:pPr>
            <a:r>
              <a:rPr lang="en-US" sz="1800" b="1" i="0" baseline="0"/>
              <a:t>PERCENTAGE CHANGE IN  XPENDITURES 2005 TO 2013</a:t>
            </a:r>
          </a:p>
          <a:p>
            <a:pPr>
              <a:defRPr/>
            </a:pPr>
            <a:r>
              <a:rPr lang="en-US" sz="1800" b="1" i="0" baseline="0"/>
              <a:t>NOVA SCOTIA</a:t>
            </a:r>
            <a:endParaRPr lang="en-CA"/>
          </a:p>
        </c:rich>
      </c:tx>
    </c:title>
    <c:plotArea>
      <c:layout>
        <c:manualLayout>
          <c:layoutTarget val="inner"/>
          <c:xMode val="edge"/>
          <c:yMode val="edge"/>
          <c:x val="5.5857684319690168E-2"/>
          <c:y val="0.18366454010545324"/>
          <c:w val="0.92803057563083768"/>
          <c:h val="0.69082905383807414"/>
        </c:manualLayout>
      </c:layout>
      <c:barChart>
        <c:barDir val="col"/>
        <c:grouping val="clustered"/>
        <c:ser>
          <c:idx val="1"/>
          <c:order val="0"/>
          <c:spPr>
            <a:solidFill>
              <a:srgbClr val="F79646"/>
            </a:solidFill>
          </c:spPr>
          <c:dLbls>
            <c:dLbl>
              <c:idx val="0"/>
              <c:layout>
                <c:manualLayout>
                  <c:x val="0"/>
                  <c:y val="-6.0530418044355931E-3"/>
                </c:manualLayout>
              </c:layout>
              <c:showVal val="1"/>
            </c:dLbl>
            <c:dLbl>
              <c:idx val="1"/>
              <c:layout>
                <c:manualLayout>
                  <c:x val="0"/>
                  <c:y val="6.0530418044355931E-3"/>
                </c:manualLayout>
              </c:layout>
              <c:showVal val="1"/>
            </c:dLbl>
            <c:txPr>
              <a:bodyPr/>
              <a:lstStyle/>
              <a:p>
                <a:pPr>
                  <a:defRPr sz="1200" b="1"/>
                </a:pPr>
                <a:endParaRPr lang="en-US"/>
              </a:p>
            </c:txPr>
            <c:showVal val="1"/>
          </c:dLbls>
          <c:cat>
            <c:strRef>
              <c:f>NS!$A$266:$A$274</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NS!$M$266:$M$274</c:f>
              <c:numCache>
                <c:formatCode>0.0%</c:formatCode>
                <c:ptCount val="9"/>
                <c:pt idx="0">
                  <c:v>0.37293557168784003</c:v>
                </c:pt>
                <c:pt idx="1">
                  <c:v>0.14798973481608196</c:v>
                </c:pt>
                <c:pt idx="2">
                  <c:v>0.61455525606468997</c:v>
                </c:pt>
                <c:pt idx="3">
                  <c:v>0.63213581002925778</c:v>
                </c:pt>
                <c:pt idx="4">
                  <c:v>0.2529968190189183</c:v>
                </c:pt>
                <c:pt idx="5">
                  <c:v>5.2984200984200681E-2</c:v>
                </c:pt>
                <c:pt idx="6">
                  <c:v>0.22517104457175774</c:v>
                </c:pt>
                <c:pt idx="7">
                  <c:v>5.8629776021080215E-2</c:v>
                </c:pt>
                <c:pt idx="8">
                  <c:v>1</c:v>
                </c:pt>
              </c:numCache>
            </c:numRef>
          </c:val>
        </c:ser>
        <c:dLbls/>
        <c:gapWidth val="50"/>
        <c:axId val="152870272"/>
        <c:axId val="152925312"/>
      </c:barChart>
      <c:catAx>
        <c:axId val="152870272"/>
        <c:scaling>
          <c:orientation val="minMax"/>
        </c:scaling>
        <c:axPos val="b"/>
        <c:majorTickMark val="none"/>
        <c:tickLblPos val="low"/>
        <c:txPr>
          <a:bodyPr/>
          <a:lstStyle/>
          <a:p>
            <a:pPr>
              <a:defRPr sz="1100" b="1"/>
            </a:pPr>
            <a:endParaRPr lang="en-US"/>
          </a:p>
        </c:txPr>
        <c:crossAx val="152925312"/>
        <c:crosses val="autoZero"/>
        <c:auto val="1"/>
        <c:lblAlgn val="ctr"/>
        <c:lblOffset val="100"/>
      </c:catAx>
      <c:valAx>
        <c:axId val="152925312"/>
        <c:scaling>
          <c:orientation val="minMax"/>
        </c:scaling>
        <c:axPos val="l"/>
        <c:majorGridlines/>
        <c:numFmt formatCode="0%" sourceLinked="0"/>
        <c:majorTickMark val="none"/>
        <c:tickLblPos val="nextTo"/>
        <c:crossAx val="152870272"/>
        <c:crosses val="autoZero"/>
        <c:crossBetween val="between"/>
      </c:valAx>
    </c:plotArea>
    <c:plotVisOnly val="1"/>
    <c:dispBlanksAs val="gap"/>
  </c:chart>
</c:chartSpace>
</file>

<file path=xl/charts/chart1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Estimated Expenditures from 2005-06 to </a:t>
            </a:r>
          </a:p>
          <a:p>
            <a:pPr>
              <a:defRPr lang="en-US"/>
            </a:pPr>
            <a:r>
              <a:rPr lang="en-US" sz="1800" b="1" i="0" baseline="0"/>
              <a:t>2009-10,  2010-11 and 2011-12</a:t>
            </a:r>
            <a:endParaRPr lang="en-US"/>
          </a:p>
          <a:p>
            <a:pPr>
              <a:defRPr lang="en-US"/>
            </a:pPr>
            <a:r>
              <a:rPr lang="en-US" sz="1800" b="1" i="0" baseline="0"/>
              <a:t>CANADA</a:t>
            </a:r>
            <a:endParaRPr lang="en-US"/>
          </a:p>
        </c:rich>
      </c:tx>
      <c:layout/>
    </c:title>
    <c:plotArea>
      <c:layout>
        <c:manualLayout>
          <c:layoutTarget val="inner"/>
          <c:xMode val="edge"/>
          <c:yMode val="edge"/>
          <c:x val="4.1076539160173335E-2"/>
          <c:y val="0.2136712714995456"/>
          <c:w val="0.92439026976170857"/>
          <c:h val="0.707198433389714"/>
        </c:manualLayout>
      </c:layout>
      <c:barChart>
        <c:barDir val="col"/>
        <c:grouping val="clustered"/>
        <c:ser>
          <c:idx val="3"/>
          <c:order val="0"/>
          <c:spPr>
            <a:solidFill>
              <a:schemeClr val="accent1"/>
            </a:solidFill>
          </c:spPr>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2013-14'!$E$43:$E$49</c:f>
              <c:numCache>
                <c:formatCode>0.0%</c:formatCode>
                <c:ptCount val="7"/>
                <c:pt idx="0">
                  <c:v>0.19795321637426899</c:v>
                </c:pt>
                <c:pt idx="1">
                  <c:v>0.12767871315942628</c:v>
                </c:pt>
                <c:pt idx="2">
                  <c:v>0.25139664804469275</c:v>
                </c:pt>
                <c:pt idx="3">
                  <c:v>0.22596618357487924</c:v>
                </c:pt>
                <c:pt idx="4">
                  <c:v>0.23748247933190636</c:v>
                </c:pt>
                <c:pt idx="5">
                  <c:v>0.13095434998346006</c:v>
                </c:pt>
                <c:pt idx="6">
                  <c:v>0.23443470442796133</c:v>
                </c:pt>
              </c:numCache>
            </c:numRef>
          </c:val>
        </c:ser>
        <c:ser>
          <c:idx val="5"/>
          <c:order val="1"/>
          <c:spPr>
            <a:solidFill>
              <a:schemeClr val="accent3"/>
            </a:solidFill>
          </c:spPr>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2013-14'!$G$43:$G$49</c:f>
              <c:numCache>
                <c:formatCode>0.0%</c:formatCode>
                <c:ptCount val="7"/>
                <c:pt idx="0">
                  <c:v>0.28093567251461993</c:v>
                </c:pt>
                <c:pt idx="1">
                  <c:v>0.17334250489443881</c:v>
                </c:pt>
                <c:pt idx="2">
                  <c:v>0.24068901303538168</c:v>
                </c:pt>
                <c:pt idx="3">
                  <c:v>0.27886473429951675</c:v>
                </c:pt>
                <c:pt idx="4">
                  <c:v>0.30212127664755428</c:v>
                </c:pt>
                <c:pt idx="5">
                  <c:v>0.11600645054581529</c:v>
                </c:pt>
                <c:pt idx="6">
                  <c:v>0.27534277365700155</c:v>
                </c:pt>
              </c:numCache>
            </c:numRef>
          </c:val>
        </c:ser>
        <c:ser>
          <c:idx val="0"/>
          <c:order val="2"/>
          <c:spPr>
            <a:solidFill>
              <a:schemeClr val="accent6">
                <a:lumMod val="75000"/>
              </a:schemeClr>
            </a:solidFill>
          </c:spPr>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2013-14'!$N$43:$N$49</c:f>
              <c:numCache>
                <c:formatCode>0.0%</c:formatCode>
                <c:ptCount val="7"/>
                <c:pt idx="0">
                  <c:v>0.47463450292397663</c:v>
                </c:pt>
                <c:pt idx="1">
                  <c:v>0.26112492724482778</c:v>
                </c:pt>
                <c:pt idx="2">
                  <c:v>0.4860335195530725</c:v>
                </c:pt>
                <c:pt idx="3">
                  <c:v>0.22240338164251219</c:v>
                </c:pt>
                <c:pt idx="4">
                  <c:v>0.51491219233502172</c:v>
                </c:pt>
                <c:pt idx="5">
                  <c:v>0.1164687396625867</c:v>
                </c:pt>
                <c:pt idx="6">
                  <c:v>0.50797932119577438</c:v>
                </c:pt>
              </c:numCache>
            </c:numRef>
          </c:val>
        </c:ser>
        <c:dLbls/>
        <c:axId val="48441216"/>
        <c:axId val="48442752"/>
      </c:barChart>
      <c:catAx>
        <c:axId val="48441216"/>
        <c:scaling>
          <c:orientation val="minMax"/>
        </c:scaling>
        <c:axPos val="b"/>
        <c:majorTickMark val="none"/>
        <c:tickLblPos val="nextTo"/>
        <c:txPr>
          <a:bodyPr/>
          <a:lstStyle/>
          <a:p>
            <a:pPr>
              <a:defRPr lang="en-US" sz="1200" b="1" i="0" baseline="0"/>
            </a:pPr>
            <a:endParaRPr lang="en-US"/>
          </a:p>
        </c:txPr>
        <c:crossAx val="48442752"/>
        <c:crosses val="autoZero"/>
        <c:auto val="1"/>
        <c:lblAlgn val="ctr"/>
        <c:lblOffset val="100"/>
      </c:catAx>
      <c:valAx>
        <c:axId val="48442752"/>
        <c:scaling>
          <c:orientation val="minMax"/>
        </c:scaling>
        <c:axPos val="l"/>
        <c:majorGridlines/>
        <c:numFmt formatCode="0%" sourceLinked="0"/>
        <c:majorTickMark val="none"/>
        <c:tickLblPos val="nextTo"/>
        <c:txPr>
          <a:bodyPr/>
          <a:lstStyle/>
          <a:p>
            <a:pPr>
              <a:defRPr lang="en-US"/>
            </a:pPr>
            <a:endParaRPr lang="en-US"/>
          </a:p>
        </c:txPr>
        <c:crossAx val="48441216"/>
        <c:crosses val="autoZero"/>
        <c:crossBetween val="between"/>
      </c:valAx>
    </c:plotArea>
    <c:plotVisOnly val="1"/>
    <c:dispBlanksAs val="gap"/>
  </c:chart>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2010-11 </a:t>
            </a:r>
          </a:p>
          <a:p>
            <a:pPr>
              <a:defRPr lang="en-US"/>
            </a:pPr>
            <a:r>
              <a:rPr lang="en-US" sz="1800" b="1" i="0" baseline="0"/>
              <a:t>Nova Scotia</a:t>
            </a:r>
            <a:endParaRPr lang="en-US"/>
          </a:p>
        </c:rich>
      </c:tx>
    </c:title>
    <c:plotArea>
      <c:layout/>
      <c:barChart>
        <c:barDir val="col"/>
        <c:grouping val="clustered"/>
        <c:ser>
          <c:idx val="5"/>
          <c:order val="0"/>
          <c:spPr>
            <a:solidFill>
              <a:schemeClr val="accent3"/>
            </a:solidFill>
          </c:spPr>
          <c:dLbls>
            <c:txPr>
              <a:bodyPr/>
              <a:lstStyle/>
              <a:p>
                <a:pPr>
                  <a:defRPr lang="en-US" sz="1200" b="1" i="0" baseline="0"/>
                </a:pPr>
                <a:endParaRPr lang="en-US"/>
              </a:p>
            </c:txPr>
            <c:showVal val="1"/>
          </c:dLbls>
          <c:cat>
            <c:strRef>
              <c:f>NS!$A$266:$A$274</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NS!$G$266:$G$274</c:f>
              <c:numCache>
                <c:formatCode>0.0%</c:formatCode>
                <c:ptCount val="9"/>
                <c:pt idx="0">
                  <c:v>0.1925952813067151</c:v>
                </c:pt>
                <c:pt idx="1">
                  <c:v>9.3669803250641476E-2</c:v>
                </c:pt>
                <c:pt idx="2">
                  <c:v>0.3180592991913746</c:v>
                </c:pt>
                <c:pt idx="3">
                  <c:v>0.52156902769272651</c:v>
                </c:pt>
                <c:pt idx="4">
                  <c:v>6.6758747697974172E-2</c:v>
                </c:pt>
                <c:pt idx="5">
                  <c:v>-4.8547008547008573E-2</c:v>
                </c:pt>
                <c:pt idx="6">
                  <c:v>5.0717399920729114E-2</c:v>
                </c:pt>
                <c:pt idx="7">
                  <c:v>-1.9104084321475662E-2</c:v>
                </c:pt>
                <c:pt idx="8">
                  <c:v>0.32978723404255317</c:v>
                </c:pt>
              </c:numCache>
            </c:numRef>
          </c:val>
        </c:ser>
        <c:dLbls/>
        <c:gapWidth val="50"/>
        <c:axId val="153420928"/>
        <c:axId val="153422464"/>
      </c:barChart>
      <c:catAx>
        <c:axId val="153420928"/>
        <c:scaling>
          <c:orientation val="minMax"/>
        </c:scaling>
        <c:axPos val="b"/>
        <c:majorTickMark val="none"/>
        <c:tickLblPos val="low"/>
        <c:txPr>
          <a:bodyPr/>
          <a:lstStyle/>
          <a:p>
            <a:pPr>
              <a:defRPr lang="en-US" sz="1100" b="1" i="0" baseline="0"/>
            </a:pPr>
            <a:endParaRPr lang="en-US"/>
          </a:p>
        </c:txPr>
        <c:crossAx val="153422464"/>
        <c:crosses val="autoZero"/>
        <c:auto val="1"/>
        <c:lblAlgn val="ctr"/>
        <c:lblOffset val="100"/>
      </c:catAx>
      <c:valAx>
        <c:axId val="153422464"/>
        <c:scaling>
          <c:orientation val="minMax"/>
        </c:scaling>
        <c:axPos val="l"/>
        <c:majorGridlines/>
        <c:numFmt formatCode="0%" sourceLinked="0"/>
        <c:majorTickMark val="none"/>
        <c:tickLblPos val="nextTo"/>
        <c:txPr>
          <a:bodyPr/>
          <a:lstStyle/>
          <a:p>
            <a:pPr>
              <a:defRPr lang="en-US"/>
            </a:pPr>
            <a:endParaRPr lang="en-US"/>
          </a:p>
        </c:txPr>
        <c:crossAx val="153420928"/>
        <c:crosses val="autoZero"/>
        <c:crossBetween val="between"/>
      </c:valAx>
    </c:plotArea>
    <c:plotVisOnly val="1"/>
    <c:dispBlanksAs val="gap"/>
  </c:chart>
</c:chartSpace>
</file>

<file path=xl/charts/chart11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2009-10 </a:t>
            </a:r>
            <a:endParaRPr lang="en-US"/>
          </a:p>
          <a:p>
            <a:pPr>
              <a:defRPr lang="en-US"/>
            </a:pPr>
            <a:r>
              <a:rPr lang="en-US" sz="1800" b="1" i="0" baseline="0"/>
              <a:t>Nova Scotia</a:t>
            </a:r>
            <a:endParaRPr lang="en-US"/>
          </a:p>
        </c:rich>
      </c:tx>
      <c:layout>
        <c:manualLayout>
          <c:xMode val="edge"/>
          <c:yMode val="edge"/>
          <c:x val="0.17732843230465664"/>
          <c:y val="8.0628751895490246E-3"/>
        </c:manualLayout>
      </c:layout>
    </c:title>
    <c:plotArea>
      <c:layout/>
      <c:barChart>
        <c:barDir val="col"/>
        <c:grouping val="clustered"/>
        <c:ser>
          <c:idx val="3"/>
          <c:order val="0"/>
          <c:spPr>
            <a:solidFill>
              <a:schemeClr val="accent1"/>
            </a:solidFill>
          </c:spPr>
          <c:dLbls>
            <c:dLbl>
              <c:idx val="4"/>
              <c:layout>
                <c:manualLayout>
                  <c:x val="1.4635784469980641E-3"/>
                  <c:y val="4.0314375947745314E-3"/>
                </c:manualLayout>
              </c:layout>
              <c:showVal val="1"/>
            </c:dLbl>
            <c:txPr>
              <a:bodyPr/>
              <a:lstStyle/>
              <a:p>
                <a:pPr>
                  <a:defRPr lang="en-US" sz="1200" b="1" i="0" baseline="0"/>
                </a:pPr>
                <a:endParaRPr lang="en-US"/>
              </a:p>
            </c:txPr>
            <c:showVal val="1"/>
          </c:dLbls>
          <c:cat>
            <c:strRef>
              <c:f>NS!$A$266:$A$274</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NS!$E$266:$E$274</c:f>
              <c:numCache>
                <c:formatCode>0.0%</c:formatCode>
                <c:ptCount val="9"/>
                <c:pt idx="0">
                  <c:v>0.15664448477515627</c:v>
                </c:pt>
                <c:pt idx="1">
                  <c:v>6.1591103507271074E-2</c:v>
                </c:pt>
                <c:pt idx="2">
                  <c:v>0.34770889487870615</c:v>
                </c:pt>
                <c:pt idx="3">
                  <c:v>0.29503470095937945</c:v>
                </c:pt>
                <c:pt idx="4">
                  <c:v>2.854511970534079E-2</c:v>
                </c:pt>
                <c:pt idx="5">
                  <c:v>-6.5527065527065734E-2</c:v>
                </c:pt>
                <c:pt idx="6">
                  <c:v>1.545778834720578E-2</c:v>
                </c:pt>
                <c:pt idx="7">
                  <c:v>-7.9051383399210608E-3</c:v>
                </c:pt>
                <c:pt idx="8">
                  <c:v>0.2978723404255319</c:v>
                </c:pt>
              </c:numCache>
            </c:numRef>
          </c:val>
        </c:ser>
        <c:dLbls/>
        <c:gapWidth val="50"/>
        <c:axId val="153467520"/>
        <c:axId val="153497984"/>
      </c:barChart>
      <c:catAx>
        <c:axId val="153467520"/>
        <c:scaling>
          <c:orientation val="minMax"/>
        </c:scaling>
        <c:axPos val="b"/>
        <c:majorTickMark val="none"/>
        <c:tickLblPos val="low"/>
        <c:txPr>
          <a:bodyPr/>
          <a:lstStyle/>
          <a:p>
            <a:pPr>
              <a:defRPr lang="en-US" sz="1100" b="1"/>
            </a:pPr>
            <a:endParaRPr lang="en-US"/>
          </a:p>
        </c:txPr>
        <c:crossAx val="153497984"/>
        <c:crosses val="autoZero"/>
        <c:auto val="1"/>
        <c:lblAlgn val="ctr"/>
        <c:lblOffset val="100"/>
      </c:catAx>
      <c:valAx>
        <c:axId val="153497984"/>
        <c:scaling>
          <c:orientation val="minMax"/>
        </c:scaling>
        <c:axPos val="l"/>
        <c:majorGridlines/>
        <c:numFmt formatCode="0%" sourceLinked="0"/>
        <c:majorTickMark val="none"/>
        <c:tickLblPos val="nextTo"/>
        <c:txPr>
          <a:bodyPr/>
          <a:lstStyle/>
          <a:p>
            <a:pPr>
              <a:defRPr lang="en-US"/>
            </a:pPr>
            <a:endParaRPr lang="en-US"/>
          </a:p>
        </c:txPr>
        <c:crossAx val="153467520"/>
        <c:crosses val="autoZero"/>
        <c:crossBetween val="between"/>
      </c:valAx>
    </c:plotArea>
    <c:plotVisOnly val="1"/>
    <c:dispBlanksAs val="gap"/>
  </c:chart>
</c:chartSpace>
</file>

<file path=xl/charts/chart11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p>
          <a:p>
            <a:pPr>
              <a:defRPr/>
            </a:pPr>
            <a:r>
              <a:rPr lang="en-US" sz="1800" b="1" i="0" baseline="0"/>
              <a:t>Percentage Change in Expenditures from 2005-06 to </a:t>
            </a:r>
            <a:endParaRPr lang="en-CA"/>
          </a:p>
          <a:p>
            <a:pPr>
              <a:defRPr/>
            </a:pPr>
            <a:r>
              <a:rPr lang="en-US" sz="1800" b="1" i="0" baseline="0"/>
              <a:t>2009-10, 2010-11 and 2011-12</a:t>
            </a:r>
            <a:endParaRPr lang="en-CA"/>
          </a:p>
          <a:p>
            <a:pPr>
              <a:defRPr/>
            </a:pPr>
            <a:r>
              <a:rPr lang="en-US" sz="1800" b="1" i="0" baseline="0"/>
              <a:t>Nova Scotia</a:t>
            </a:r>
            <a:endParaRPr lang="en-CA"/>
          </a:p>
        </c:rich>
      </c:tx>
    </c:title>
    <c:plotArea>
      <c:layout>
        <c:manualLayout>
          <c:layoutTarget val="inner"/>
          <c:xMode val="edge"/>
          <c:yMode val="edge"/>
          <c:x val="4.5590111797253682E-2"/>
          <c:y val="0.21915856046273841"/>
          <c:w val="0.9544098882027463"/>
          <c:h val="0.56777166718883298"/>
        </c:manualLayout>
      </c:layout>
      <c:barChart>
        <c:barDir val="col"/>
        <c:grouping val="clustered"/>
        <c:ser>
          <c:idx val="3"/>
          <c:order val="0"/>
          <c:spPr>
            <a:solidFill>
              <a:schemeClr val="accent1"/>
            </a:solidFill>
          </c:spPr>
          <c:cat>
            <c:strRef>
              <c:f>NS!$A$266:$A$274</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NS!$E$266:$E$274</c:f>
              <c:numCache>
                <c:formatCode>0.0%</c:formatCode>
                <c:ptCount val="9"/>
                <c:pt idx="0">
                  <c:v>0.15664448477515627</c:v>
                </c:pt>
                <c:pt idx="1">
                  <c:v>6.1591103507271074E-2</c:v>
                </c:pt>
                <c:pt idx="2">
                  <c:v>0.34770889487870615</c:v>
                </c:pt>
                <c:pt idx="3">
                  <c:v>0.29503470095937945</c:v>
                </c:pt>
                <c:pt idx="4">
                  <c:v>2.854511970534079E-2</c:v>
                </c:pt>
                <c:pt idx="5">
                  <c:v>-6.5527065527065734E-2</c:v>
                </c:pt>
                <c:pt idx="6">
                  <c:v>1.545778834720578E-2</c:v>
                </c:pt>
                <c:pt idx="7">
                  <c:v>-7.9051383399210608E-3</c:v>
                </c:pt>
                <c:pt idx="8">
                  <c:v>0.2978723404255319</c:v>
                </c:pt>
              </c:numCache>
            </c:numRef>
          </c:val>
        </c:ser>
        <c:ser>
          <c:idx val="5"/>
          <c:order val="1"/>
          <c:spPr>
            <a:solidFill>
              <a:schemeClr val="accent3"/>
            </a:solidFill>
          </c:spPr>
          <c:cat>
            <c:strRef>
              <c:f>NS!$A$266:$A$274</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NS!$G$266:$G$274</c:f>
              <c:numCache>
                <c:formatCode>0.0%</c:formatCode>
                <c:ptCount val="9"/>
                <c:pt idx="0">
                  <c:v>0.1925952813067151</c:v>
                </c:pt>
                <c:pt idx="1">
                  <c:v>9.3669803250641476E-2</c:v>
                </c:pt>
                <c:pt idx="2">
                  <c:v>0.3180592991913746</c:v>
                </c:pt>
                <c:pt idx="3">
                  <c:v>0.52156902769272651</c:v>
                </c:pt>
                <c:pt idx="4">
                  <c:v>6.6758747697974172E-2</c:v>
                </c:pt>
                <c:pt idx="5">
                  <c:v>-4.8547008547008573E-2</c:v>
                </c:pt>
                <c:pt idx="6">
                  <c:v>5.0717399920729114E-2</c:v>
                </c:pt>
                <c:pt idx="7">
                  <c:v>-1.9104084321475662E-2</c:v>
                </c:pt>
                <c:pt idx="8">
                  <c:v>0.32978723404255317</c:v>
                </c:pt>
              </c:numCache>
            </c:numRef>
          </c:val>
        </c:ser>
        <c:ser>
          <c:idx val="7"/>
          <c:order val="2"/>
          <c:spPr>
            <a:solidFill>
              <a:schemeClr val="accent6">
                <a:lumMod val="75000"/>
              </a:schemeClr>
            </a:solidFill>
          </c:spPr>
          <c:cat>
            <c:strRef>
              <c:f>NS!$A$266:$A$274</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NS!$I$266:$I$274</c:f>
              <c:numCache>
                <c:formatCode>0.0%</c:formatCode>
                <c:ptCount val="9"/>
                <c:pt idx="0">
                  <c:v>0.30342569066344022</c:v>
                </c:pt>
                <c:pt idx="1">
                  <c:v>0.14285714285714277</c:v>
                </c:pt>
                <c:pt idx="2">
                  <c:v>0.40700808625336932</c:v>
                </c:pt>
                <c:pt idx="3">
                  <c:v>0.500306184935701</c:v>
                </c:pt>
                <c:pt idx="4">
                  <c:v>0.12937384898710874</c:v>
                </c:pt>
                <c:pt idx="5">
                  <c:v>-5.6410256410256328E-2</c:v>
                </c:pt>
                <c:pt idx="6">
                  <c:v>0.10352754657154191</c:v>
                </c:pt>
                <c:pt idx="7">
                  <c:v>-1.3175230566534914E-2</c:v>
                </c:pt>
                <c:pt idx="8">
                  <c:v>0.36170212765957449</c:v>
                </c:pt>
              </c:numCache>
            </c:numRef>
          </c:val>
        </c:ser>
        <c:dLbls/>
        <c:gapWidth val="75"/>
        <c:axId val="153598592"/>
        <c:axId val="153624960"/>
      </c:barChart>
      <c:catAx>
        <c:axId val="153598592"/>
        <c:scaling>
          <c:orientation val="minMax"/>
        </c:scaling>
        <c:axPos val="b"/>
        <c:majorTickMark val="none"/>
        <c:tickLblPos val="low"/>
        <c:txPr>
          <a:bodyPr/>
          <a:lstStyle/>
          <a:p>
            <a:pPr>
              <a:defRPr sz="1200" b="1"/>
            </a:pPr>
            <a:endParaRPr lang="en-US"/>
          </a:p>
        </c:txPr>
        <c:crossAx val="153624960"/>
        <c:crosses val="autoZero"/>
        <c:auto val="1"/>
        <c:lblAlgn val="ctr"/>
        <c:lblOffset val="100"/>
      </c:catAx>
      <c:valAx>
        <c:axId val="153624960"/>
        <c:scaling>
          <c:orientation val="minMax"/>
        </c:scaling>
        <c:axPos val="l"/>
        <c:majorGridlines/>
        <c:numFmt formatCode="0%" sourceLinked="0"/>
        <c:majorTickMark val="none"/>
        <c:tickLblPos val="nextTo"/>
        <c:crossAx val="153598592"/>
        <c:crosses val="autoZero"/>
        <c:crossBetween val="between"/>
      </c:valAx>
    </c:plotArea>
    <c:plotVisOnly val="1"/>
    <c:dispBlanksAs val="gap"/>
  </c:chart>
  <c:userShapes r:id="rId1"/>
</c:chartSpace>
</file>

<file path=xl/charts/chart11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a:t>
            </a:r>
          </a:p>
          <a:p>
            <a:pPr>
              <a:defRPr lang="en-US"/>
            </a:pPr>
            <a:r>
              <a:rPr lang="en-US" sz="1800" b="1" i="0" baseline="0"/>
              <a:t>2009-10 and 2010-11</a:t>
            </a:r>
          </a:p>
          <a:p>
            <a:pPr>
              <a:defRPr lang="en-US"/>
            </a:pPr>
            <a:r>
              <a:rPr lang="en-US" sz="1800" b="1" i="0" baseline="0"/>
              <a:t>Nova Scotia</a:t>
            </a:r>
            <a:endParaRPr lang="en-US"/>
          </a:p>
        </c:rich>
      </c:tx>
    </c:title>
    <c:plotArea>
      <c:layout/>
      <c:barChart>
        <c:barDir val="col"/>
        <c:grouping val="clustered"/>
        <c:ser>
          <c:idx val="3"/>
          <c:order val="0"/>
          <c:spPr>
            <a:solidFill>
              <a:schemeClr val="accent1"/>
            </a:solidFill>
          </c:spPr>
          <c:cat>
            <c:strRef>
              <c:f>NS!$A$266:$A$274</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NS!$E$266:$E$274</c:f>
              <c:numCache>
                <c:formatCode>0.0%</c:formatCode>
                <c:ptCount val="9"/>
                <c:pt idx="0">
                  <c:v>0.15664448477515627</c:v>
                </c:pt>
                <c:pt idx="1">
                  <c:v>6.1591103507271074E-2</c:v>
                </c:pt>
                <c:pt idx="2">
                  <c:v>0.34770889487870615</c:v>
                </c:pt>
                <c:pt idx="3">
                  <c:v>0.29503470095937945</c:v>
                </c:pt>
                <c:pt idx="4">
                  <c:v>2.854511970534079E-2</c:v>
                </c:pt>
                <c:pt idx="5">
                  <c:v>-6.5527065527065734E-2</c:v>
                </c:pt>
                <c:pt idx="6">
                  <c:v>1.545778834720578E-2</c:v>
                </c:pt>
                <c:pt idx="7">
                  <c:v>-7.9051383399210608E-3</c:v>
                </c:pt>
                <c:pt idx="8">
                  <c:v>0.2978723404255319</c:v>
                </c:pt>
              </c:numCache>
            </c:numRef>
          </c:val>
        </c:ser>
        <c:ser>
          <c:idx val="5"/>
          <c:order val="1"/>
          <c:spPr>
            <a:solidFill>
              <a:schemeClr val="accent3"/>
            </a:solidFill>
          </c:spPr>
          <c:cat>
            <c:strRef>
              <c:f>NS!$A$266:$A$274</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NS!$G$266:$G$274</c:f>
              <c:numCache>
                <c:formatCode>0.0%</c:formatCode>
                <c:ptCount val="9"/>
                <c:pt idx="0">
                  <c:v>0.1925952813067151</c:v>
                </c:pt>
                <c:pt idx="1">
                  <c:v>9.3669803250641476E-2</c:v>
                </c:pt>
                <c:pt idx="2">
                  <c:v>0.3180592991913746</c:v>
                </c:pt>
                <c:pt idx="3">
                  <c:v>0.52156902769272651</c:v>
                </c:pt>
                <c:pt idx="4">
                  <c:v>6.6758747697974172E-2</c:v>
                </c:pt>
                <c:pt idx="5">
                  <c:v>-4.8547008547008573E-2</c:v>
                </c:pt>
                <c:pt idx="6">
                  <c:v>5.0717399920729114E-2</c:v>
                </c:pt>
                <c:pt idx="7">
                  <c:v>-1.9104084321475662E-2</c:v>
                </c:pt>
                <c:pt idx="8">
                  <c:v>0.32978723404255317</c:v>
                </c:pt>
              </c:numCache>
            </c:numRef>
          </c:val>
        </c:ser>
        <c:dLbls/>
        <c:gapWidth val="75"/>
        <c:axId val="153662976"/>
        <c:axId val="153664512"/>
      </c:barChart>
      <c:catAx>
        <c:axId val="153662976"/>
        <c:scaling>
          <c:orientation val="minMax"/>
        </c:scaling>
        <c:axPos val="b"/>
        <c:majorTickMark val="none"/>
        <c:tickLblPos val="low"/>
        <c:txPr>
          <a:bodyPr/>
          <a:lstStyle/>
          <a:p>
            <a:pPr>
              <a:defRPr lang="en-US" sz="1050" b="1"/>
            </a:pPr>
            <a:endParaRPr lang="en-US"/>
          </a:p>
        </c:txPr>
        <c:crossAx val="153664512"/>
        <c:crosses val="autoZero"/>
        <c:auto val="1"/>
        <c:lblAlgn val="ctr"/>
        <c:lblOffset val="100"/>
      </c:catAx>
      <c:valAx>
        <c:axId val="153664512"/>
        <c:scaling>
          <c:orientation val="minMax"/>
        </c:scaling>
        <c:axPos val="l"/>
        <c:majorGridlines/>
        <c:numFmt formatCode="0%" sourceLinked="0"/>
        <c:majorTickMark val="none"/>
        <c:tickLblPos val="nextTo"/>
        <c:txPr>
          <a:bodyPr/>
          <a:lstStyle/>
          <a:p>
            <a:pPr>
              <a:defRPr lang="en-US"/>
            </a:pPr>
            <a:endParaRPr lang="en-US"/>
          </a:p>
        </c:txPr>
        <c:crossAx val="153662976"/>
        <c:crosses val="autoZero"/>
        <c:crossBetween val="between"/>
      </c:valAx>
    </c:plotArea>
    <c:plotVisOnly val="1"/>
    <c:dispBlanksAs val="gap"/>
  </c:chart>
  <c:userShapes r:id="rId1"/>
</c:chartSpace>
</file>

<file path=xl/charts/chart11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a:t>
            </a:r>
          </a:p>
          <a:p>
            <a:pPr>
              <a:defRPr/>
            </a:pPr>
            <a:r>
              <a:rPr lang="en-US" sz="1800" b="1" i="0" baseline="0"/>
              <a:t>PERCENTAGE INCREASE FROM 2005-06 TO </a:t>
            </a:r>
            <a:endParaRPr lang="en-CA"/>
          </a:p>
          <a:p>
            <a:pPr>
              <a:defRPr/>
            </a:pPr>
            <a:r>
              <a:rPr lang="en-US" sz="1800" b="1" i="0" baseline="0"/>
              <a:t>2009-10,  2010-11 AND 2011-12</a:t>
            </a:r>
          </a:p>
          <a:p>
            <a:pPr>
              <a:defRPr/>
            </a:pPr>
            <a:r>
              <a:rPr lang="en-US" sz="1800" b="1" i="0" baseline="0"/>
              <a:t>NOVA SCOTIA</a:t>
            </a:r>
            <a:endParaRPr lang="en-CA"/>
          </a:p>
        </c:rich>
      </c:tx>
    </c:title>
    <c:plotArea>
      <c:layout/>
      <c:barChart>
        <c:barDir val="col"/>
        <c:grouping val="clustered"/>
        <c:ser>
          <c:idx val="0"/>
          <c:order val="0"/>
          <c:tx>
            <c:strRef>
              <c:f>NS!$E$277</c:f>
              <c:strCache>
                <c:ptCount val="1"/>
                <c:pt idx="0">
                  <c:v>2009-10</c:v>
                </c:pt>
              </c:strCache>
            </c:strRef>
          </c:tx>
          <c:dLbls>
            <c:dLbl>
              <c:idx val="2"/>
              <c:layout>
                <c:manualLayout>
                  <c:x val="0"/>
                  <c:y val="-8.0707224059141207E-3"/>
                </c:manualLayout>
              </c:layout>
              <c:showVal val="1"/>
            </c:dLbl>
            <c:txPr>
              <a:bodyPr/>
              <a:lstStyle/>
              <a:p>
                <a:pPr>
                  <a:defRPr sz="1400" b="1"/>
                </a:pPr>
                <a:endParaRPr lang="en-US"/>
              </a:p>
            </c:txPr>
            <c:showVal val="1"/>
          </c:dLbls>
          <c:cat>
            <c:strRef>
              <c:f>NS!$A$278:$A$280</c:f>
              <c:strCache>
                <c:ptCount val="3"/>
                <c:pt idx="0">
                  <c:v>Income Assistance for the Disabled (IAD) &amp; FN SA</c:v>
                </c:pt>
                <c:pt idx="1">
                  <c:v>Total Income Support for the Disabled</c:v>
                </c:pt>
                <c:pt idx="2">
                  <c:v>Total Income Support for the Disabled excl. IAD &amp; FN SA</c:v>
                </c:pt>
              </c:strCache>
            </c:strRef>
          </c:cat>
          <c:val>
            <c:numRef>
              <c:f>NS!$E$278:$E$280</c:f>
              <c:numCache>
                <c:formatCode>0.0%</c:formatCode>
                <c:ptCount val="3"/>
                <c:pt idx="0">
                  <c:v>1.545778834720578E-2</c:v>
                </c:pt>
                <c:pt idx="1">
                  <c:v>0.11998332180528072</c:v>
                </c:pt>
                <c:pt idx="2">
                  <c:v>0.14119286526892666</c:v>
                </c:pt>
              </c:numCache>
            </c:numRef>
          </c:val>
        </c:ser>
        <c:ser>
          <c:idx val="1"/>
          <c:order val="1"/>
          <c:tx>
            <c:strRef>
              <c:f>NS!$G$277</c:f>
              <c:strCache>
                <c:ptCount val="1"/>
                <c:pt idx="0">
                  <c:v>2010-11</c:v>
                </c:pt>
              </c:strCache>
            </c:strRef>
          </c:tx>
          <c:spPr>
            <a:solidFill>
              <a:schemeClr val="accent3"/>
            </a:solidFill>
          </c:spPr>
          <c:dLbls>
            <c:dLbl>
              <c:idx val="2"/>
              <c:layout>
                <c:manualLayout>
                  <c:x val="0"/>
                  <c:y val="-6.0530418044355931E-3"/>
                </c:manualLayout>
              </c:layout>
              <c:showVal val="1"/>
            </c:dLbl>
            <c:txPr>
              <a:bodyPr/>
              <a:lstStyle/>
              <a:p>
                <a:pPr>
                  <a:defRPr sz="1400" b="1"/>
                </a:pPr>
                <a:endParaRPr lang="en-US"/>
              </a:p>
            </c:txPr>
            <c:showVal val="1"/>
          </c:dLbls>
          <c:cat>
            <c:strRef>
              <c:f>NS!$A$278:$A$280</c:f>
              <c:strCache>
                <c:ptCount val="3"/>
                <c:pt idx="0">
                  <c:v>Income Assistance for the Disabled (IAD) &amp; FN SA</c:v>
                </c:pt>
                <c:pt idx="1">
                  <c:v>Total Income Support for the Disabled</c:v>
                </c:pt>
                <c:pt idx="2">
                  <c:v>Total Income Support for the Disabled excl. IAD &amp; FN SA</c:v>
                </c:pt>
              </c:strCache>
            </c:strRef>
          </c:cat>
          <c:val>
            <c:numRef>
              <c:f>NS!$G$278:$G$280</c:f>
              <c:numCache>
                <c:formatCode>0.0%</c:formatCode>
                <c:ptCount val="3"/>
                <c:pt idx="0">
                  <c:v>5.0717399920729114E-2</c:v>
                </c:pt>
                <c:pt idx="1">
                  <c:v>0.16983629355081462</c:v>
                </c:pt>
                <c:pt idx="2">
                  <c:v>0.19400701306981227</c:v>
                </c:pt>
              </c:numCache>
            </c:numRef>
          </c:val>
        </c:ser>
        <c:ser>
          <c:idx val="2"/>
          <c:order val="2"/>
          <c:tx>
            <c:strRef>
              <c:f>NS!$I$277</c:f>
              <c:strCache>
                <c:ptCount val="1"/>
                <c:pt idx="0">
                  <c:v>2011-12</c:v>
                </c:pt>
              </c:strCache>
            </c:strRef>
          </c:tx>
          <c:spPr>
            <a:solidFill>
              <a:schemeClr val="accent6">
                <a:lumMod val="75000"/>
              </a:schemeClr>
            </a:solidFill>
          </c:spPr>
          <c:dLbls>
            <c:txPr>
              <a:bodyPr/>
              <a:lstStyle/>
              <a:p>
                <a:pPr>
                  <a:defRPr sz="1400" b="1"/>
                </a:pPr>
                <a:endParaRPr lang="en-US"/>
              </a:p>
            </c:txPr>
            <c:showVal val="1"/>
          </c:dLbls>
          <c:cat>
            <c:strRef>
              <c:f>NS!$A$278:$A$280</c:f>
              <c:strCache>
                <c:ptCount val="3"/>
                <c:pt idx="0">
                  <c:v>Income Assistance for the Disabled (IAD) &amp; FN SA</c:v>
                </c:pt>
                <c:pt idx="1">
                  <c:v>Total Income Support for the Disabled</c:v>
                </c:pt>
                <c:pt idx="2">
                  <c:v>Total Income Support for the Disabled excl. IAD &amp; FN SA</c:v>
                </c:pt>
              </c:strCache>
            </c:strRef>
          </c:cat>
          <c:val>
            <c:numRef>
              <c:f>NS!$I$278:$I$280</c:f>
              <c:numCache>
                <c:formatCode>0.0%</c:formatCode>
                <c:ptCount val="3"/>
                <c:pt idx="0">
                  <c:v>0.10352754657154191</c:v>
                </c:pt>
                <c:pt idx="1">
                  <c:v>0.20511855254664585</c:v>
                </c:pt>
                <c:pt idx="2">
                  <c:v>0.22573264352957995</c:v>
                </c:pt>
              </c:numCache>
            </c:numRef>
          </c:val>
        </c:ser>
        <c:dLbls/>
        <c:gapWidth val="75"/>
        <c:axId val="153802240"/>
        <c:axId val="153803776"/>
      </c:barChart>
      <c:catAx>
        <c:axId val="153802240"/>
        <c:scaling>
          <c:orientation val="minMax"/>
        </c:scaling>
        <c:delete val="1"/>
        <c:axPos val="b"/>
        <c:majorTickMark val="none"/>
        <c:tickLblPos val="none"/>
        <c:crossAx val="153803776"/>
        <c:crosses val="autoZero"/>
        <c:auto val="1"/>
        <c:lblAlgn val="ctr"/>
        <c:lblOffset val="100"/>
      </c:catAx>
      <c:valAx>
        <c:axId val="153803776"/>
        <c:scaling>
          <c:orientation val="minMax"/>
        </c:scaling>
        <c:axPos val="l"/>
        <c:majorGridlines/>
        <c:numFmt formatCode="0%" sourceLinked="0"/>
        <c:majorTickMark val="none"/>
        <c:tickLblPos val="nextTo"/>
        <c:crossAx val="153802240"/>
        <c:crosses val="autoZero"/>
        <c:crossBetween val="between"/>
      </c:valAx>
    </c:plotArea>
    <c:legend>
      <c:legendPos val="b"/>
      <c:layout>
        <c:manualLayout>
          <c:xMode val="edge"/>
          <c:yMode val="edge"/>
          <c:x val="0.30517665479218736"/>
          <c:y val="0.94652431479884513"/>
          <c:w val="0.42772898507801704"/>
          <c:h val="4.1369601592283624E-2"/>
        </c:manualLayout>
      </c:layout>
      <c:txPr>
        <a:bodyPr/>
        <a:lstStyle/>
        <a:p>
          <a:pPr>
            <a:defRPr sz="1200" b="1"/>
          </a:pPr>
          <a:endParaRPr lang="en-US"/>
        </a:p>
      </c:txPr>
    </c:legend>
    <c:plotVisOnly val="1"/>
    <c:dispBlanksAs val="gap"/>
  </c:chart>
  <c:userShapes r:id="rId1"/>
</c:chartSpace>
</file>

<file path=xl/charts/chart11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a:t>
            </a:r>
          </a:p>
          <a:p>
            <a:pPr>
              <a:defRPr lang="en-US"/>
            </a:pPr>
            <a:r>
              <a:rPr lang="en-US" sz="1800" b="1" i="0" baseline="0"/>
              <a:t>2009-10 AND 2010-11</a:t>
            </a:r>
            <a:endParaRPr lang="en-US"/>
          </a:p>
          <a:p>
            <a:pPr>
              <a:defRPr lang="en-US"/>
            </a:pPr>
            <a:r>
              <a:rPr lang="en-US" sz="1800" b="1" i="0" baseline="0"/>
              <a:t>NOVA SCOTIA</a:t>
            </a:r>
            <a:endParaRPr lang="en-US"/>
          </a:p>
        </c:rich>
      </c:tx>
    </c:title>
    <c:plotArea>
      <c:layout>
        <c:manualLayout>
          <c:layoutTarget val="inner"/>
          <c:xMode val="edge"/>
          <c:yMode val="edge"/>
          <c:x val="5.9510367321312922E-2"/>
          <c:y val="0.2136712714995456"/>
          <c:w val="0.92439026976170857"/>
          <c:h val="0.71137335207052665"/>
        </c:manualLayout>
      </c:layout>
      <c:barChart>
        <c:barDir val="col"/>
        <c:grouping val="clustered"/>
        <c:ser>
          <c:idx val="0"/>
          <c:order val="0"/>
          <c:tx>
            <c:strRef>
              <c:f>NS!$E$277</c:f>
              <c:strCache>
                <c:ptCount val="1"/>
                <c:pt idx="0">
                  <c:v>2009-10</c:v>
                </c:pt>
              </c:strCache>
            </c:strRef>
          </c:tx>
          <c:dLbls>
            <c:dLbl>
              <c:idx val="0"/>
              <c:layout>
                <c:manualLayout>
                  <c:x val="0"/>
                  <c:y val="-4.0314375947745913E-3"/>
                </c:manualLayout>
              </c:layout>
              <c:showVal val="1"/>
            </c:dLbl>
            <c:dLbl>
              <c:idx val="2"/>
              <c:layout>
                <c:manualLayout>
                  <c:x val="2.9271568939961252E-3"/>
                  <c:y val="-1.2094312784323432E-2"/>
                </c:manualLayout>
              </c:layout>
              <c:showVal val="1"/>
            </c:dLbl>
            <c:txPr>
              <a:bodyPr/>
              <a:lstStyle/>
              <a:p>
                <a:pPr>
                  <a:defRPr lang="en-US" sz="1400" b="1" i="0" baseline="0"/>
                </a:pPr>
                <a:endParaRPr lang="en-US"/>
              </a:p>
            </c:txPr>
            <c:showVal val="1"/>
          </c:dLbls>
          <c:cat>
            <c:strRef>
              <c:f>NS!$A$278:$A$280</c:f>
              <c:strCache>
                <c:ptCount val="3"/>
                <c:pt idx="0">
                  <c:v>Income Assistance for the Disabled (IAD) &amp; FN SA</c:v>
                </c:pt>
                <c:pt idx="1">
                  <c:v>Total Income Support for the Disabled</c:v>
                </c:pt>
                <c:pt idx="2">
                  <c:v>Total Income Support for the Disabled excl. IAD &amp; FN SA</c:v>
                </c:pt>
              </c:strCache>
            </c:strRef>
          </c:cat>
          <c:val>
            <c:numRef>
              <c:f>NS!$E$278:$E$280</c:f>
              <c:numCache>
                <c:formatCode>0.0%</c:formatCode>
                <c:ptCount val="3"/>
                <c:pt idx="0">
                  <c:v>1.545778834720578E-2</c:v>
                </c:pt>
                <c:pt idx="1">
                  <c:v>0.11998332180528072</c:v>
                </c:pt>
                <c:pt idx="2">
                  <c:v>0.14119286526892666</c:v>
                </c:pt>
              </c:numCache>
            </c:numRef>
          </c:val>
        </c:ser>
        <c:ser>
          <c:idx val="1"/>
          <c:order val="1"/>
          <c:tx>
            <c:strRef>
              <c:f>NS!$G$277</c:f>
              <c:strCache>
                <c:ptCount val="1"/>
                <c:pt idx="0">
                  <c:v>2010-11</c:v>
                </c:pt>
              </c:strCache>
            </c:strRef>
          </c:tx>
          <c:spPr>
            <a:solidFill>
              <a:srgbClr val="9BBB59"/>
            </a:solidFill>
          </c:spPr>
          <c:dLbls>
            <c:dLbl>
              <c:idx val="0"/>
              <c:layout>
                <c:manualLayout>
                  <c:x val="0"/>
                  <c:y val="-4.0314375947746832E-3"/>
                </c:manualLayout>
              </c:layout>
              <c:showVal val="1"/>
            </c:dLbl>
            <c:dLbl>
              <c:idx val="2"/>
              <c:layout>
                <c:manualLayout>
                  <c:x val="0"/>
                  <c:y val="-4.0314375947745262E-3"/>
                </c:manualLayout>
              </c:layout>
              <c:showVal val="1"/>
            </c:dLbl>
            <c:txPr>
              <a:bodyPr/>
              <a:lstStyle/>
              <a:p>
                <a:pPr>
                  <a:defRPr lang="en-US" sz="1400" b="1" i="0" baseline="0"/>
                </a:pPr>
                <a:endParaRPr lang="en-US"/>
              </a:p>
            </c:txPr>
            <c:showVal val="1"/>
          </c:dLbls>
          <c:cat>
            <c:strRef>
              <c:f>NS!$A$278:$A$280</c:f>
              <c:strCache>
                <c:ptCount val="3"/>
                <c:pt idx="0">
                  <c:v>Income Assistance for the Disabled (IAD) &amp; FN SA</c:v>
                </c:pt>
                <c:pt idx="1">
                  <c:v>Total Income Support for the Disabled</c:v>
                </c:pt>
                <c:pt idx="2">
                  <c:v>Total Income Support for the Disabled excl. IAD &amp; FN SA</c:v>
                </c:pt>
              </c:strCache>
            </c:strRef>
          </c:cat>
          <c:val>
            <c:numRef>
              <c:f>NS!$G$278:$G$280</c:f>
              <c:numCache>
                <c:formatCode>0.0%</c:formatCode>
                <c:ptCount val="3"/>
                <c:pt idx="0">
                  <c:v>5.0717399920729114E-2</c:v>
                </c:pt>
                <c:pt idx="1">
                  <c:v>0.16983629355081462</c:v>
                </c:pt>
                <c:pt idx="2">
                  <c:v>0.19400701306981227</c:v>
                </c:pt>
              </c:numCache>
            </c:numRef>
          </c:val>
        </c:ser>
        <c:dLbls/>
        <c:gapWidth val="50"/>
        <c:axId val="153903872"/>
        <c:axId val="153905408"/>
      </c:barChart>
      <c:catAx>
        <c:axId val="153903872"/>
        <c:scaling>
          <c:orientation val="minMax"/>
        </c:scaling>
        <c:delete val="1"/>
        <c:axPos val="b"/>
        <c:majorTickMark val="none"/>
        <c:tickLblPos val="none"/>
        <c:crossAx val="153905408"/>
        <c:crosses val="autoZero"/>
        <c:auto val="1"/>
        <c:lblAlgn val="ctr"/>
        <c:lblOffset val="100"/>
      </c:catAx>
      <c:valAx>
        <c:axId val="153905408"/>
        <c:scaling>
          <c:orientation val="minMax"/>
        </c:scaling>
        <c:axPos val="l"/>
        <c:majorGridlines/>
        <c:numFmt formatCode="0%" sourceLinked="0"/>
        <c:majorTickMark val="none"/>
        <c:tickLblPos val="nextTo"/>
        <c:txPr>
          <a:bodyPr/>
          <a:lstStyle/>
          <a:p>
            <a:pPr>
              <a:defRPr lang="en-US"/>
            </a:pPr>
            <a:endParaRPr lang="en-US"/>
          </a:p>
        </c:txPr>
        <c:crossAx val="153903872"/>
        <c:crosses val="autoZero"/>
        <c:crossBetween val="between"/>
      </c:valAx>
    </c:plotArea>
    <c:legend>
      <c:legendPos val="b"/>
      <c:layout>
        <c:manualLayout>
          <c:xMode val="edge"/>
          <c:yMode val="edge"/>
          <c:x val="0.34093368468435481"/>
          <c:y val="0.9417074757137629"/>
          <c:w val="0.36350356248823085"/>
          <c:h val="4.6198211501913833E-2"/>
        </c:manualLayout>
      </c:layout>
      <c:txPr>
        <a:bodyPr/>
        <a:lstStyle/>
        <a:p>
          <a:pPr>
            <a:defRPr lang="en-US" sz="1400" b="1" i="0" baseline="0"/>
          </a:pPr>
          <a:endParaRPr lang="en-US"/>
        </a:p>
      </c:txPr>
    </c:legend>
    <c:plotVisOnly val="1"/>
    <c:dispBlanksAs val="gap"/>
  </c:chart>
  <c:userShapes r:id="rId1"/>
</c:chartSpace>
</file>

<file path=xl/charts/chart11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PERSONS WITH DISABILITIES:</a:t>
            </a:r>
          </a:p>
          <a:p>
            <a:pPr>
              <a:defRPr lang="en-US"/>
            </a:pPr>
            <a:r>
              <a:rPr lang="en-US" sz="1800" b="1" i="0" baseline="0"/>
              <a:t>PERCENTAGE CHANGE FROM 2005 TO 2013</a:t>
            </a:r>
          </a:p>
          <a:p>
            <a:pPr>
              <a:defRPr lang="en-US"/>
            </a:pPr>
            <a:r>
              <a:rPr lang="en-US" sz="1800" b="1" i="0" baseline="0"/>
              <a:t>NOVA SCOTIA</a:t>
            </a:r>
            <a:endParaRPr lang="en-US"/>
          </a:p>
        </c:rich>
      </c:tx>
    </c:title>
    <c:plotArea>
      <c:layout>
        <c:manualLayout>
          <c:layoutTarget val="inner"/>
          <c:xMode val="edge"/>
          <c:yMode val="edge"/>
          <c:x val="5.3656053533320383E-2"/>
          <c:y val="0.18348596186768168"/>
          <c:w val="0.92439026976170857"/>
          <c:h val="0.75149377460328504"/>
        </c:manualLayout>
      </c:layout>
      <c:barChart>
        <c:barDir val="col"/>
        <c:grouping val="clustered"/>
        <c:ser>
          <c:idx val="0"/>
          <c:order val="0"/>
          <c:spPr>
            <a:solidFill>
              <a:srgbClr val="F79646"/>
            </a:solidFill>
          </c:spPr>
          <c:dLbls>
            <c:txPr>
              <a:bodyPr/>
              <a:lstStyle/>
              <a:p>
                <a:pPr>
                  <a:defRPr sz="1400" b="1"/>
                </a:pPr>
                <a:endParaRPr lang="en-US"/>
              </a:p>
            </c:txPr>
            <c:showVal val="1"/>
          </c:dLbls>
          <c:cat>
            <c:strRef>
              <c:f>NS!$A$278:$A$280</c:f>
              <c:strCache>
                <c:ptCount val="3"/>
                <c:pt idx="0">
                  <c:v>Income Assistance for the Disabled (IAD) &amp; FN SA</c:v>
                </c:pt>
                <c:pt idx="1">
                  <c:v>Total Income Support for the Disabled</c:v>
                </c:pt>
                <c:pt idx="2">
                  <c:v>Total Income Support for the Disabled excl. IAD &amp; FN SA</c:v>
                </c:pt>
              </c:strCache>
            </c:strRef>
          </c:cat>
          <c:val>
            <c:numRef>
              <c:f>NS!$M$278:$M$280</c:f>
              <c:numCache>
                <c:formatCode>0.0%</c:formatCode>
                <c:ptCount val="3"/>
                <c:pt idx="0">
                  <c:v>0.22517104457175774</c:v>
                </c:pt>
                <c:pt idx="1">
                  <c:v>0.34567592881863168</c:v>
                </c:pt>
                <c:pt idx="2">
                  <c:v>0.37012788324028362</c:v>
                </c:pt>
              </c:numCache>
            </c:numRef>
          </c:val>
        </c:ser>
        <c:dLbls/>
        <c:gapWidth val="50"/>
        <c:axId val="154180224"/>
        <c:axId val="154190208"/>
      </c:barChart>
      <c:catAx>
        <c:axId val="154180224"/>
        <c:scaling>
          <c:orientation val="minMax"/>
        </c:scaling>
        <c:delete val="1"/>
        <c:axPos val="b"/>
        <c:majorTickMark val="none"/>
        <c:tickLblPos val="none"/>
        <c:crossAx val="154190208"/>
        <c:crosses val="autoZero"/>
        <c:auto val="1"/>
        <c:lblAlgn val="ctr"/>
        <c:lblOffset val="100"/>
      </c:catAx>
      <c:valAx>
        <c:axId val="154190208"/>
        <c:scaling>
          <c:orientation val="minMax"/>
        </c:scaling>
        <c:axPos val="l"/>
        <c:majorGridlines/>
        <c:numFmt formatCode="0%" sourceLinked="0"/>
        <c:majorTickMark val="none"/>
        <c:tickLblPos val="nextTo"/>
        <c:txPr>
          <a:bodyPr/>
          <a:lstStyle/>
          <a:p>
            <a:pPr>
              <a:defRPr lang="en-US"/>
            </a:pPr>
            <a:endParaRPr lang="en-US"/>
          </a:p>
        </c:txPr>
        <c:crossAx val="154180224"/>
        <c:crosses val="autoZero"/>
        <c:crossBetween val="between"/>
      </c:valAx>
    </c:plotArea>
    <c:plotVisOnly val="1"/>
    <c:dispBlanksAs val="gap"/>
  </c:chart>
  <c:userShapes r:id="rId1"/>
</c:chartSpace>
</file>

<file path=xl/charts/chart11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2009-10</a:t>
            </a:r>
            <a:endParaRPr lang="en-US"/>
          </a:p>
          <a:p>
            <a:pPr>
              <a:defRPr lang="en-US"/>
            </a:pPr>
            <a:r>
              <a:rPr lang="en-US" sz="1800" b="1" i="0" baseline="0"/>
              <a:t>NOVA SCOTIA</a:t>
            </a:r>
          </a:p>
        </c:rich>
      </c:tx>
    </c:title>
    <c:plotArea>
      <c:layout/>
      <c:barChart>
        <c:barDir val="col"/>
        <c:grouping val="clustered"/>
        <c:ser>
          <c:idx val="3"/>
          <c:order val="0"/>
          <c:spPr>
            <a:solidFill>
              <a:srgbClr val="4F81BD"/>
            </a:solidFill>
          </c:spPr>
          <c:dLbls>
            <c:dLbl>
              <c:idx val="0"/>
              <c:layout>
                <c:manualLayout>
                  <c:x val="0"/>
                  <c:y val="-1.209431278432337E-2"/>
                </c:manualLayout>
              </c:layout>
              <c:showVal val="1"/>
            </c:dLbl>
            <c:dLbl>
              <c:idx val="2"/>
              <c:layout>
                <c:manualLayout>
                  <c:x val="0"/>
                  <c:y val="-8.0628751895490246E-3"/>
                </c:manualLayout>
              </c:layout>
              <c:showVal val="1"/>
            </c:dLbl>
            <c:txPr>
              <a:bodyPr/>
              <a:lstStyle/>
              <a:p>
                <a:pPr>
                  <a:defRPr lang="en-US" sz="1400" b="1" i="0" baseline="0"/>
                </a:pPr>
                <a:endParaRPr lang="en-US"/>
              </a:p>
            </c:txPr>
            <c:showVal val="1"/>
          </c:dLbls>
          <c:cat>
            <c:strRef>
              <c:f>NS!$A$278:$A$280</c:f>
              <c:strCache>
                <c:ptCount val="3"/>
                <c:pt idx="0">
                  <c:v>Income Assistance for the Disabled (IAD) &amp; FN SA</c:v>
                </c:pt>
                <c:pt idx="1">
                  <c:v>Total Income Support for the Disabled</c:v>
                </c:pt>
                <c:pt idx="2">
                  <c:v>Total Income Support for the Disabled excl. IAD &amp; FN SA</c:v>
                </c:pt>
              </c:strCache>
            </c:strRef>
          </c:cat>
          <c:val>
            <c:numRef>
              <c:f>NS!$E$278:$E$280</c:f>
              <c:numCache>
                <c:formatCode>0.0%</c:formatCode>
                <c:ptCount val="3"/>
                <c:pt idx="0">
                  <c:v>1.545778834720578E-2</c:v>
                </c:pt>
                <c:pt idx="1">
                  <c:v>0.11998332180528072</c:v>
                </c:pt>
                <c:pt idx="2">
                  <c:v>0.14119286526892666</c:v>
                </c:pt>
              </c:numCache>
            </c:numRef>
          </c:val>
        </c:ser>
        <c:dLbls/>
        <c:gapWidth val="50"/>
        <c:axId val="154308992"/>
        <c:axId val="154310528"/>
      </c:barChart>
      <c:catAx>
        <c:axId val="154308992"/>
        <c:scaling>
          <c:orientation val="minMax"/>
        </c:scaling>
        <c:delete val="1"/>
        <c:axPos val="b"/>
        <c:majorTickMark val="none"/>
        <c:tickLblPos val="none"/>
        <c:crossAx val="154310528"/>
        <c:crosses val="autoZero"/>
        <c:auto val="1"/>
        <c:lblAlgn val="ctr"/>
        <c:lblOffset val="100"/>
      </c:catAx>
      <c:valAx>
        <c:axId val="154310528"/>
        <c:scaling>
          <c:orientation val="minMax"/>
        </c:scaling>
        <c:axPos val="l"/>
        <c:majorGridlines/>
        <c:numFmt formatCode="0%" sourceLinked="0"/>
        <c:majorTickMark val="none"/>
        <c:tickLblPos val="nextTo"/>
        <c:txPr>
          <a:bodyPr/>
          <a:lstStyle/>
          <a:p>
            <a:pPr>
              <a:defRPr lang="en-US"/>
            </a:pPr>
            <a:endParaRPr lang="en-US"/>
          </a:p>
        </c:txPr>
        <c:crossAx val="154308992"/>
        <c:crosses val="autoZero"/>
        <c:crossBetween val="between"/>
      </c:valAx>
    </c:plotArea>
    <c:plotVisOnly val="1"/>
    <c:dispBlanksAs val="gap"/>
  </c:chart>
  <c:userShapes r:id="rId1"/>
</c:chartSpace>
</file>

<file path=xl/charts/chart11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sz="1800" b="1" i="0" baseline="0"/>
          </a:p>
          <a:p>
            <a:pPr>
              <a:defRPr/>
            </a:pPr>
            <a:r>
              <a:rPr lang="en-US" sz="1800" b="1" i="0" baseline="0"/>
              <a:t>NEW BRUNSWICK 2013</a:t>
            </a:r>
            <a:endParaRPr lang="en-CA" sz="1800" b="1" i="0" baseline="0"/>
          </a:p>
          <a:p>
            <a:pPr>
              <a:defRPr/>
            </a:pPr>
            <a:r>
              <a:rPr lang="en-US" sz="1800" b="1" i="0" baseline="0"/>
              <a:t>$710 M</a:t>
            </a:r>
            <a:endParaRPr lang="en-CA"/>
          </a:p>
        </c:rich>
      </c:tx>
    </c:title>
    <c:plotArea>
      <c:layout/>
      <c:pieChart>
        <c:varyColors val="1"/>
        <c:ser>
          <c:idx val="10"/>
          <c:order val="0"/>
          <c:dLbls>
            <c:dLbl>
              <c:idx val="0"/>
              <c:layout>
                <c:manualLayout>
                  <c:x val="0.12026468232769323"/>
                  <c:y val="7.5488739435773902E-2"/>
                </c:manualLayout>
              </c:layout>
              <c:tx>
                <c:rich>
                  <a:bodyPr/>
                  <a:lstStyle/>
                  <a:p>
                    <a:r>
                      <a:rPr lang="en-US"/>
                      <a:t>Disability Tax Measures</a:t>
                    </a:r>
                  </a:p>
                  <a:p>
                    <a:r>
                      <a:rPr lang="en-US"/>
                      <a:t>$56</a:t>
                    </a:r>
                    <a:r>
                      <a:rPr lang="en-US" baseline="0"/>
                      <a:t> M</a:t>
                    </a:r>
                    <a:endParaRPr lang="en-US"/>
                  </a:p>
                </c:rich>
              </c:tx>
              <c:showVal val="1"/>
              <c:showCatName val="1"/>
            </c:dLbl>
            <c:dLbl>
              <c:idx val="1"/>
              <c:layout>
                <c:manualLayout>
                  <c:x val="-0.13397321276169766"/>
                  <c:y val="6.5786396574963393E-2"/>
                </c:manualLayout>
              </c:layout>
              <c:tx>
                <c:rich>
                  <a:bodyPr/>
                  <a:lstStyle/>
                  <a:p>
                    <a:r>
                      <a:rPr lang="en-US"/>
                      <a:t>CPP-D</a:t>
                    </a:r>
                  </a:p>
                  <a:p>
                    <a:r>
                      <a:rPr lang="en-US"/>
                      <a:t>$161</a:t>
                    </a:r>
                    <a:r>
                      <a:rPr lang="en-US" baseline="0"/>
                      <a:t> M</a:t>
                    </a:r>
                    <a:endParaRPr lang="en-US"/>
                  </a:p>
                </c:rich>
              </c:tx>
              <c:showVal val="1"/>
              <c:showCatName val="1"/>
            </c:dLbl>
            <c:dLbl>
              <c:idx val="2"/>
              <c:layout>
                <c:manualLayout>
                  <c:x val="-0.11592967854022333"/>
                  <c:y val="-0.10823887304753659"/>
                </c:manualLayout>
              </c:layout>
              <c:tx>
                <c:rich>
                  <a:bodyPr/>
                  <a:lstStyle/>
                  <a:p>
                    <a:r>
                      <a:rPr lang="en-US"/>
                      <a:t>EI Sickness</a:t>
                    </a:r>
                  </a:p>
                  <a:p>
                    <a:r>
                      <a:rPr lang="en-US"/>
                      <a:t>$70</a:t>
                    </a:r>
                    <a:r>
                      <a:rPr lang="en-US" baseline="0"/>
                      <a:t> M</a:t>
                    </a:r>
                    <a:endParaRPr lang="en-US"/>
                  </a:p>
                </c:rich>
              </c:tx>
              <c:showVal val="1"/>
              <c:showCatName val="1"/>
            </c:dLbl>
            <c:dLbl>
              <c:idx val="3"/>
              <c:layout>
                <c:manualLayout>
                  <c:x val="7.9677571442938414E-3"/>
                  <c:y val="-0.12579952579739695"/>
                </c:manualLayout>
              </c:layout>
              <c:tx>
                <c:rich>
                  <a:bodyPr/>
                  <a:lstStyle/>
                  <a:p>
                    <a:r>
                      <a:rPr lang="en-US"/>
                      <a:t>Veterans' Disability Pensions &amp; Awards</a:t>
                    </a:r>
                  </a:p>
                  <a:p>
                    <a:r>
                      <a:rPr lang="en-US"/>
                      <a:t>$141</a:t>
                    </a:r>
                    <a:r>
                      <a:rPr lang="en-US" baseline="0"/>
                      <a:t> M</a:t>
                    </a:r>
                    <a:endParaRPr lang="en-US"/>
                  </a:p>
                </c:rich>
              </c:tx>
              <c:showVal val="1"/>
              <c:showCatName val="1"/>
            </c:dLbl>
            <c:dLbl>
              <c:idx val="4"/>
              <c:layout>
                <c:manualLayout>
                  <c:x val="-1.65565140330142E-2"/>
                  <c:y val="4.1623162083618992E-2"/>
                </c:manualLayout>
              </c:layout>
              <c:tx>
                <c:rich>
                  <a:bodyPr/>
                  <a:lstStyle/>
                  <a:p>
                    <a:r>
                      <a:rPr lang="en-US"/>
                      <a:t>Income Asst. for the Disabled</a:t>
                    </a:r>
                  </a:p>
                  <a:p>
                    <a:r>
                      <a:rPr lang="en-US"/>
                      <a:t>$45 M</a:t>
                    </a:r>
                  </a:p>
                </c:rich>
              </c:tx>
              <c:showVal val="1"/>
              <c:showCatName val="1"/>
            </c:dLbl>
            <c:dLbl>
              <c:idx val="5"/>
              <c:layout>
                <c:manualLayout>
                  <c:x val="-4.4558591374902312E-2"/>
                  <c:y val="8.2554911098133062E-3"/>
                </c:manualLayout>
              </c:layout>
              <c:tx>
                <c:rich>
                  <a:bodyPr/>
                  <a:lstStyle/>
                  <a:p>
                    <a:r>
                      <a:rPr lang="en-US"/>
                      <a:t>First Nations SA for Disabled - $23 M</a:t>
                    </a:r>
                  </a:p>
                </c:rich>
              </c:tx>
              <c:showVal val="1"/>
              <c:showCatName val="1"/>
            </c:dLbl>
            <c:dLbl>
              <c:idx val="6"/>
              <c:layout>
                <c:manualLayout>
                  <c:x val="0.15606290429280428"/>
                  <c:y val="-1.5876127756358246E-3"/>
                </c:manualLayout>
              </c:layout>
              <c:tx>
                <c:rich>
                  <a:bodyPr/>
                  <a:lstStyle/>
                  <a:p>
                    <a:r>
                      <a:rPr lang="en-US"/>
                      <a:t>Workers' Compensation</a:t>
                    </a:r>
                  </a:p>
                  <a:p>
                    <a:r>
                      <a:rPr lang="en-US"/>
                      <a:t>$73 M</a:t>
                    </a:r>
                  </a:p>
                </c:rich>
              </c:tx>
              <c:showVal val="1"/>
              <c:showCatName val="1"/>
            </c:dLbl>
            <c:dLbl>
              <c:idx val="7"/>
              <c:layout>
                <c:manualLayout>
                  <c:x val="0.14116381199386988"/>
                  <c:y val="0.20039460748645294"/>
                </c:manualLayout>
              </c:layout>
              <c:tx>
                <c:rich>
                  <a:bodyPr/>
                  <a:lstStyle/>
                  <a:p>
                    <a:r>
                      <a:rPr lang="en-US"/>
                      <a:t>Private Disability Insurance</a:t>
                    </a:r>
                  </a:p>
                  <a:p>
                    <a:r>
                      <a:rPr lang="en-US"/>
                      <a:t>$142 M</a:t>
                    </a:r>
                  </a:p>
                </c:rich>
              </c:tx>
              <c:showVal val="1"/>
              <c:showCatName val="1"/>
            </c:dLbl>
            <c:txPr>
              <a:bodyPr/>
              <a:lstStyle/>
              <a:p>
                <a:pPr>
                  <a:defRPr sz="1400" b="1"/>
                </a:pPr>
                <a:endParaRPr lang="en-US"/>
              </a:p>
            </c:txPr>
            <c:showVal val="1"/>
            <c:showCatName val="1"/>
            <c:showLeaderLines val="1"/>
          </c:dLbls>
          <c:cat>
            <c:strRef>
              <c:f>(NB!$A$254:$A$259,NB!$A$261:$A$262)</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(NB!$L$254:$L$259,NB!$L$261:$L$262)</c:f>
              <c:numCache>
                <c:formatCode>#,##0.0</c:formatCode>
                <c:ptCount val="8"/>
                <c:pt idx="0">
                  <c:v>55.475749999999998</c:v>
                </c:pt>
                <c:pt idx="1">
                  <c:v>160.9</c:v>
                </c:pt>
                <c:pt idx="2">
                  <c:v>70.099999999999994</c:v>
                </c:pt>
                <c:pt idx="3">
                  <c:v>140.80000000000001</c:v>
                </c:pt>
                <c:pt idx="4">
                  <c:v>44.5</c:v>
                </c:pt>
                <c:pt idx="5">
                  <c:v>22.979320000000005</c:v>
                </c:pt>
                <c:pt idx="6">
                  <c:v>72.900000000000006</c:v>
                </c:pt>
                <c:pt idx="7">
                  <c:v>142</c:v>
                </c:pt>
              </c:numCache>
            </c:numRef>
          </c:val>
        </c:ser>
        <c:dLbls>
          <c:showCatName val="1"/>
          <c:showPercent val="1"/>
        </c:dLbls>
        <c:firstSliceAng val="0"/>
      </c:pieChart>
    </c:plotArea>
    <c:plotVisOnly val="1"/>
    <c:dispBlanksAs val="zero"/>
  </c:chart>
</c:chartSpace>
</file>

<file path=xl/charts/chart11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a:p>
          <a:p>
            <a:pPr>
              <a:defRPr/>
            </a:pPr>
            <a:r>
              <a:rPr lang="en-US" sz="1800" b="1" i="0" baseline="0"/>
              <a:t>NEW BRUNSWICK 2005</a:t>
            </a:r>
            <a:endParaRPr lang="en-CA"/>
          </a:p>
          <a:p>
            <a:pPr>
              <a:defRPr/>
            </a:pPr>
            <a:r>
              <a:rPr lang="en-US" sz="1800" b="1" i="0" baseline="0"/>
              <a:t>$514 M</a:t>
            </a:r>
            <a:endParaRPr lang="en-CA"/>
          </a:p>
        </c:rich>
      </c:tx>
    </c:title>
    <c:plotArea>
      <c:layout/>
      <c:pieChart>
        <c:varyColors val="1"/>
        <c:ser>
          <c:idx val="0"/>
          <c:order val="0"/>
          <c:dLbls>
            <c:dLbl>
              <c:idx val="0"/>
              <c:layout>
                <c:manualLayout>
                  <c:x val="0.2046385895665124"/>
                  <c:y val="6.8890923868939136E-2"/>
                </c:manualLayout>
              </c:layout>
              <c:tx>
                <c:rich>
                  <a:bodyPr/>
                  <a:lstStyle/>
                  <a:p>
                    <a:r>
                      <a:rPr lang="en-US"/>
                      <a:t>Disability Tax Measures</a:t>
                    </a:r>
                  </a:p>
                  <a:p>
                    <a:r>
                      <a:rPr lang="en-US"/>
                      <a:t>$39 M</a:t>
                    </a:r>
                  </a:p>
                </c:rich>
              </c:tx>
              <c:showVal val="1"/>
              <c:showCatName val="1"/>
            </c:dLbl>
            <c:dLbl>
              <c:idx val="1"/>
              <c:layout>
                <c:manualLayout>
                  <c:x val="-0.14405129645878489"/>
                  <c:y val="4.0207131595353052E-2"/>
                </c:manualLayout>
              </c:layout>
              <c:tx>
                <c:rich>
                  <a:bodyPr/>
                  <a:lstStyle/>
                  <a:p>
                    <a:r>
                      <a:rPr lang="en-US"/>
                      <a:t>CPP-D</a:t>
                    </a:r>
                  </a:p>
                  <a:p>
                    <a:r>
                      <a:rPr lang="en-US"/>
                      <a:t>$138</a:t>
                    </a:r>
                    <a:r>
                      <a:rPr lang="en-US" baseline="0"/>
                      <a:t> M</a:t>
                    </a:r>
                    <a:endParaRPr lang="en-US"/>
                  </a:p>
                </c:rich>
              </c:tx>
              <c:showVal val="1"/>
              <c:showCatName val="1"/>
            </c:dLbl>
            <c:dLbl>
              <c:idx val="2"/>
              <c:layout>
                <c:manualLayout>
                  <c:x val="-9.5423366244186236E-2"/>
                  <c:y val="-0.11354489641196018"/>
                </c:manualLayout>
              </c:layout>
              <c:tx>
                <c:rich>
                  <a:bodyPr/>
                  <a:lstStyle/>
                  <a:p>
                    <a:r>
                      <a:rPr lang="en-US"/>
                      <a:t>EI Sickness</a:t>
                    </a:r>
                  </a:p>
                  <a:p>
                    <a:r>
                      <a:rPr lang="en-US"/>
                      <a:t>$42 M</a:t>
                    </a:r>
                  </a:p>
                </c:rich>
              </c:tx>
              <c:showVal val="1"/>
              <c:showCatName val="1"/>
            </c:dLbl>
            <c:dLbl>
              <c:idx val="3"/>
              <c:layout>
                <c:manualLayout>
                  <c:x val="3.1401516095132385E-2"/>
                  <c:y val="-0.10713598023372055"/>
                </c:manualLayout>
              </c:layout>
              <c:tx>
                <c:rich>
                  <a:bodyPr/>
                  <a:lstStyle/>
                  <a:p>
                    <a:r>
                      <a:rPr lang="en-US"/>
                      <a:t>Veterans' Disability Pensions &amp; Awards</a:t>
                    </a:r>
                  </a:p>
                  <a:p>
                    <a:r>
                      <a:rPr lang="en-US"/>
                      <a:t>$91 M</a:t>
                    </a:r>
                  </a:p>
                </c:rich>
              </c:tx>
              <c:showVal val="1"/>
              <c:showCatName val="1"/>
            </c:dLbl>
            <c:dLbl>
              <c:idx val="4"/>
              <c:layout>
                <c:manualLayout>
                  <c:x val="-2.6589445645424557E-2"/>
                  <c:y val="1.8470833235361975E-2"/>
                </c:manualLayout>
              </c:layout>
              <c:tx>
                <c:rich>
                  <a:bodyPr/>
                  <a:lstStyle/>
                  <a:p>
                    <a:r>
                      <a:rPr lang="en-US"/>
                      <a:t>Income Asst. for the Disabled</a:t>
                    </a:r>
                  </a:p>
                  <a:p>
                    <a:r>
                      <a:rPr lang="en-US"/>
                      <a:t>$38 M</a:t>
                    </a:r>
                  </a:p>
                </c:rich>
              </c:tx>
              <c:showVal val="1"/>
              <c:showCatName val="1"/>
            </c:dLbl>
            <c:dLbl>
              <c:idx val="5"/>
              <c:layout>
                <c:manualLayout>
                  <c:x val="-2.9334092672606681E-2"/>
                  <c:y val="8.2319779815440957E-3"/>
                </c:manualLayout>
              </c:layout>
              <c:tx>
                <c:rich>
                  <a:bodyPr/>
                  <a:lstStyle/>
                  <a:p>
                    <a:r>
                      <a:rPr lang="en-US"/>
                      <a:t>First Nations SA for Disabled - $17  M</a:t>
                    </a:r>
                  </a:p>
                </c:rich>
              </c:tx>
              <c:showVal val="1"/>
              <c:showCatName val="1"/>
            </c:dLbl>
            <c:dLbl>
              <c:idx val="6"/>
              <c:layout>
                <c:manualLayout>
                  <c:x val="0.16478221586825326"/>
                  <c:y val="4.9372326573203076E-2"/>
                </c:manualLayout>
              </c:layout>
              <c:tx>
                <c:rich>
                  <a:bodyPr/>
                  <a:lstStyle/>
                  <a:p>
                    <a:r>
                      <a:rPr lang="en-US"/>
                      <a:t>Workers' Compensation</a:t>
                    </a:r>
                  </a:p>
                  <a:p>
                    <a:r>
                      <a:rPr lang="en-US"/>
                      <a:t>$70 M</a:t>
                    </a:r>
                  </a:p>
                </c:rich>
              </c:tx>
              <c:showVal val="1"/>
              <c:showCatName val="1"/>
            </c:dLbl>
            <c:dLbl>
              <c:idx val="7"/>
              <c:layout>
                <c:manualLayout>
                  <c:x val="0.1259149207860592"/>
                  <c:y val="0.20109666501227449"/>
                </c:manualLayout>
              </c:layout>
              <c:tx>
                <c:rich>
                  <a:bodyPr/>
                  <a:lstStyle/>
                  <a:p>
                    <a:r>
                      <a:rPr lang="en-US"/>
                      <a:t>Private Disability Insurance</a:t>
                    </a:r>
                  </a:p>
                  <a:p>
                    <a:r>
                      <a:rPr lang="en-US"/>
                      <a:t>$79</a:t>
                    </a:r>
                    <a:r>
                      <a:rPr lang="en-US" baseline="0"/>
                      <a:t> M</a:t>
                    </a:r>
                    <a:endParaRPr lang="en-US"/>
                  </a:p>
                </c:rich>
              </c:tx>
              <c:showVal val="1"/>
              <c:showCatName val="1"/>
            </c:dLbl>
            <c:txPr>
              <a:bodyPr/>
              <a:lstStyle/>
              <a:p>
                <a:pPr>
                  <a:defRPr sz="1400" b="1"/>
                </a:pPr>
                <a:endParaRPr lang="en-US"/>
              </a:p>
            </c:txPr>
            <c:showVal val="1"/>
            <c:showCatName val="1"/>
            <c:showLeaderLines val="1"/>
          </c:dLbls>
          <c:cat>
            <c:strRef>
              <c:f>(NB!$A$254:$A$259,NB!$A$261:$A$262)</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(NB!$B$254:$B$259,NB!$B$261:$B$262)</c:f>
              <c:numCache>
                <c:formatCode>#,##0.0</c:formatCode>
                <c:ptCount val="8"/>
                <c:pt idx="0">
                  <c:v>39.330000000000005</c:v>
                </c:pt>
                <c:pt idx="1">
                  <c:v>138.1</c:v>
                </c:pt>
                <c:pt idx="2">
                  <c:v>41.8</c:v>
                </c:pt>
                <c:pt idx="3">
                  <c:v>91.08</c:v>
                </c:pt>
                <c:pt idx="4">
                  <c:v>37.799999999999997</c:v>
                </c:pt>
                <c:pt idx="5">
                  <c:v>17.435000000000002</c:v>
                </c:pt>
                <c:pt idx="6">
                  <c:v>69.7</c:v>
                </c:pt>
                <c:pt idx="7">
                  <c:v>79</c:v>
                </c:pt>
              </c:numCache>
            </c:numRef>
          </c:val>
        </c:ser>
        <c:dLbls>
          <c:showCatName val="1"/>
          <c:showPercent val="1"/>
        </c:dLbls>
        <c:firstSliceAng val="0"/>
      </c:pieChart>
    </c:plotArea>
    <c:plotVisOnly val="1"/>
    <c:dispBlanksAs val="zero"/>
  </c:chart>
</c:chartSpace>
</file>

<file path=xl/charts/chart1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a:t>
            </a:r>
          </a:p>
          <a:p>
            <a:pPr>
              <a:defRPr lang="en-US"/>
            </a:pPr>
            <a:r>
              <a:rPr lang="en-US" sz="1800" b="1" i="0" baseline="0"/>
              <a:t>2009-10, 2010-11 AND 2011-12</a:t>
            </a:r>
          </a:p>
          <a:p>
            <a:pPr>
              <a:defRPr lang="en-US"/>
            </a:pPr>
            <a:r>
              <a:rPr lang="en-US" sz="1800" b="1" i="0" baseline="0"/>
              <a:t>CANADA</a:t>
            </a:r>
            <a:endParaRPr lang="en-US"/>
          </a:p>
        </c:rich>
      </c:tx>
      <c:layout/>
    </c:title>
    <c:plotArea>
      <c:layout>
        <c:manualLayout>
          <c:layoutTarget val="inner"/>
          <c:xMode val="edge"/>
          <c:yMode val="edge"/>
          <c:x val="7.2682573344295523E-2"/>
          <c:y val="0.21165555270215836"/>
          <c:w val="0.9156087990797207"/>
          <c:h val="0.68835257366023739"/>
        </c:manualLayout>
      </c:layout>
      <c:barChart>
        <c:barDir val="col"/>
        <c:grouping val="clustered"/>
        <c:ser>
          <c:idx val="0"/>
          <c:order val="0"/>
          <c:tx>
            <c:strRef>
              <c:f>'CANADA TABLE TO 13-14'!$B$90</c:f>
              <c:strCache>
                <c:ptCount val="1"/>
                <c:pt idx="0">
                  <c:v>% change 05-06 to 09-10</c:v>
                </c:pt>
              </c:strCache>
            </c:strRef>
          </c:tx>
          <c:dLbls>
            <c:dLbl>
              <c:idx val="0"/>
              <c:layout>
                <c:manualLayout>
                  <c:x val="1.4635784469980641E-3"/>
                  <c:y val="1.2094312784323366E-2"/>
                </c:manualLayout>
              </c:layout>
              <c:showVal val="1"/>
            </c:dLbl>
            <c:txPr>
              <a:bodyPr/>
              <a:lstStyle/>
              <a:p>
                <a:pPr>
                  <a:defRPr lang="en-US" sz="1200" b="1" i="0" baseline="0"/>
                </a:pPr>
                <a:endParaRPr lang="en-US"/>
              </a:p>
            </c:txPr>
            <c:showVal val="1"/>
          </c:dLbls>
          <c:cat>
            <c:strRef>
              <c:f>'CANADA TABLE TO 13-14'!$A$91:$A$93</c:f>
              <c:strCache>
                <c:ptCount val="3"/>
                <c:pt idx="0">
                  <c:v>Social Assistance - Disabled component *</c:v>
                </c:pt>
                <c:pt idx="1">
                  <c:v>Total income support for the disabled</c:v>
                </c:pt>
                <c:pt idx="2">
                  <c:v>Total income support for the disabled excluding SA</c:v>
                </c:pt>
              </c:strCache>
            </c:strRef>
          </c:cat>
          <c:val>
            <c:numRef>
              <c:f>'CANADA TABLE TO 13-14'!$B$91:$B$93</c:f>
              <c:numCache>
                <c:formatCode>0.0%</c:formatCode>
                <c:ptCount val="3"/>
                <c:pt idx="0">
                  <c:v>0.23748247933190636</c:v>
                </c:pt>
                <c:pt idx="1">
                  <c:v>0.19366968412404487</c:v>
                </c:pt>
                <c:pt idx="2">
                  <c:v>0.1785747333842275</c:v>
                </c:pt>
              </c:numCache>
            </c:numRef>
          </c:val>
        </c:ser>
        <c:ser>
          <c:idx val="2"/>
          <c:order val="1"/>
          <c:tx>
            <c:strRef>
              <c:f>'CANADA TABLE TO 13-14'!$D$90</c:f>
              <c:strCache>
                <c:ptCount val="1"/>
                <c:pt idx="0">
                  <c:v>% change 05-06 to 10-11</c:v>
                </c:pt>
              </c:strCache>
            </c:strRef>
          </c:tx>
          <c:dLbls>
            <c:txPr>
              <a:bodyPr/>
              <a:lstStyle/>
              <a:p>
                <a:pPr>
                  <a:defRPr lang="en-US" sz="1200" b="1" i="0" baseline="0"/>
                </a:pPr>
                <a:endParaRPr lang="en-US"/>
              </a:p>
            </c:txPr>
            <c:showVal val="1"/>
          </c:dLbls>
          <c:cat>
            <c:strRef>
              <c:f>'CANADA TABLE TO 13-14'!$A$91:$A$93</c:f>
              <c:strCache>
                <c:ptCount val="3"/>
                <c:pt idx="0">
                  <c:v>Social Assistance - Disabled component *</c:v>
                </c:pt>
                <c:pt idx="1">
                  <c:v>Total income support for the disabled</c:v>
                </c:pt>
                <c:pt idx="2">
                  <c:v>Total income support for the disabled excluding SA</c:v>
                </c:pt>
              </c:strCache>
            </c:strRef>
          </c:cat>
          <c:val>
            <c:numRef>
              <c:f>'CANADA TABLE TO 13-14'!$D$91:$D$93</c:f>
              <c:numCache>
                <c:formatCode>0.0%</c:formatCode>
                <c:ptCount val="3"/>
                <c:pt idx="0">
                  <c:v>0.30212127664755428</c:v>
                </c:pt>
                <c:pt idx="1">
                  <c:v>0.23185221880151852</c:v>
                </c:pt>
                <c:pt idx="2">
                  <c:v>0.20764221435676772</c:v>
                </c:pt>
              </c:numCache>
            </c:numRef>
          </c:val>
        </c:ser>
        <c:ser>
          <c:idx val="1"/>
          <c:order val="2"/>
          <c:tx>
            <c:strRef>
              <c:f>'CANADA TABLE TO 13-14'!$F$90</c:f>
              <c:strCache>
                <c:ptCount val="1"/>
                <c:pt idx="0">
                  <c:v>% change 05-06 to 11-12</c:v>
                </c:pt>
              </c:strCache>
            </c:strRef>
          </c:tx>
          <c:spPr>
            <a:solidFill>
              <a:schemeClr val="accent6">
                <a:lumMod val="75000"/>
              </a:schemeClr>
            </a:solidFill>
          </c:spPr>
          <c:dLbls>
            <c:dLbl>
              <c:idx val="0"/>
              <c:layout>
                <c:manualLayout>
                  <c:x val="0"/>
                  <c:y val="-6.0471563921617524E-3"/>
                </c:manualLayout>
              </c:layout>
              <c:showVal val="1"/>
            </c:dLbl>
            <c:dLbl>
              <c:idx val="1"/>
              <c:layout>
                <c:manualLayout>
                  <c:x val="-1.4635784469980641E-3"/>
                  <c:y val="-6.0471563921617524E-3"/>
                </c:manualLayout>
              </c:layout>
              <c:showVal val="1"/>
            </c:dLbl>
            <c:txPr>
              <a:bodyPr/>
              <a:lstStyle/>
              <a:p>
                <a:pPr>
                  <a:defRPr sz="1200" b="1"/>
                </a:pPr>
                <a:endParaRPr lang="en-US"/>
              </a:p>
            </c:txPr>
            <c:showVal val="1"/>
          </c:dLbls>
          <c:cat>
            <c:strRef>
              <c:f>'CANADA TABLE TO 13-14'!$A$91:$A$93</c:f>
              <c:strCache>
                <c:ptCount val="3"/>
                <c:pt idx="0">
                  <c:v>Social Assistance - Disabled component *</c:v>
                </c:pt>
                <c:pt idx="1">
                  <c:v>Total income support for the disabled</c:v>
                </c:pt>
                <c:pt idx="2">
                  <c:v>Total income support for the disabled excluding SA</c:v>
                </c:pt>
              </c:strCache>
            </c:strRef>
          </c:cat>
          <c:val>
            <c:numRef>
              <c:f>'CANADA TABLE TO 13-14'!$F$91:$F$93</c:f>
              <c:numCache>
                <c:formatCode>0.0%</c:formatCode>
                <c:ptCount val="3"/>
                <c:pt idx="0">
                  <c:v>0.34523097551985582</c:v>
                </c:pt>
                <c:pt idx="1">
                  <c:v>0.27041782983586427</c:v>
                </c:pt>
                <c:pt idx="2">
                  <c:v>0.24464223749045744</c:v>
                </c:pt>
              </c:numCache>
            </c:numRef>
          </c:val>
        </c:ser>
        <c:dLbls/>
        <c:gapWidth val="75"/>
        <c:axId val="48498560"/>
        <c:axId val="48500096"/>
      </c:barChart>
      <c:catAx>
        <c:axId val="48498560"/>
        <c:scaling>
          <c:orientation val="minMax"/>
        </c:scaling>
        <c:delete val="1"/>
        <c:axPos val="b"/>
        <c:majorTickMark val="none"/>
        <c:tickLblPos val="none"/>
        <c:crossAx val="48500096"/>
        <c:crosses val="autoZero"/>
        <c:auto val="1"/>
        <c:lblAlgn val="ctr"/>
        <c:lblOffset val="100"/>
      </c:catAx>
      <c:valAx>
        <c:axId val="48500096"/>
        <c:scaling>
          <c:orientation val="minMax"/>
        </c:scaling>
        <c:axPos val="l"/>
        <c:majorGridlines/>
        <c:numFmt formatCode="0%" sourceLinked="0"/>
        <c:majorTickMark val="none"/>
        <c:tickLblPos val="nextTo"/>
        <c:txPr>
          <a:bodyPr/>
          <a:lstStyle/>
          <a:p>
            <a:pPr>
              <a:defRPr lang="en-US"/>
            </a:pPr>
            <a:endParaRPr lang="en-US"/>
          </a:p>
        </c:txPr>
        <c:crossAx val="48498560"/>
        <c:crosses val="autoZero"/>
        <c:crossBetween val="between"/>
      </c:valAx>
    </c:plotArea>
    <c:legend>
      <c:legendPos val="b"/>
      <c:layout>
        <c:manualLayout>
          <c:xMode val="edge"/>
          <c:yMode val="edge"/>
          <c:x val="8.9252470969864744E-2"/>
          <c:y val="0.93649771557160233"/>
          <c:w val="0.89172100921916164"/>
          <c:h val="4.6198211501913833E-2"/>
        </c:manualLayout>
      </c:layout>
      <c:txPr>
        <a:bodyPr/>
        <a:lstStyle/>
        <a:p>
          <a:pPr>
            <a:defRPr lang="en-US" sz="1400" b="1" i="0" baseline="0"/>
          </a:pPr>
          <a:endParaRPr lang="en-US"/>
        </a:p>
      </c:txPr>
    </c:legend>
    <c:plotVisOnly val="1"/>
    <c:dispBlanksAs val="gap"/>
  </c:chart>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DISABILITY BENEFIT EXPENDITURES</a:t>
            </a:r>
          </a:p>
          <a:p>
            <a:pPr>
              <a:defRPr/>
            </a:pPr>
            <a:r>
              <a:rPr lang="en-US" sz="1800" b="1" i="0" baseline="0"/>
              <a:t>NEW BRUNSWICK 2011-12</a:t>
            </a:r>
          </a:p>
          <a:p>
            <a:pPr>
              <a:defRPr/>
            </a:pPr>
            <a:r>
              <a:rPr lang="en-US" sz="1800" b="1" i="0" baseline="0"/>
              <a:t>$664 M</a:t>
            </a:r>
            <a:endParaRPr lang="en-CA"/>
          </a:p>
        </c:rich>
      </c:tx>
    </c:title>
    <c:plotArea>
      <c:layout>
        <c:manualLayout>
          <c:layoutTarget val="inner"/>
          <c:xMode val="edge"/>
          <c:yMode val="edge"/>
          <c:x val="0.25092207130777333"/>
          <c:y val="0.22642078077566641"/>
          <c:w val="0.50694407922962581"/>
          <c:h val="0.69833323695069061"/>
        </c:manualLayout>
      </c:layout>
      <c:pieChart>
        <c:varyColors val="1"/>
        <c:ser>
          <c:idx val="6"/>
          <c:order val="0"/>
          <c:dLbls>
            <c:dLbl>
              <c:idx val="0"/>
              <c:tx>
                <c:rich>
                  <a:bodyPr/>
                  <a:lstStyle/>
                  <a:p>
                    <a:r>
                      <a:rPr lang="en-US"/>
                      <a:t>Disability Tax Measures</a:t>
                    </a:r>
                  </a:p>
                  <a:p>
                    <a:r>
                      <a:rPr lang="en-US"/>
                      <a:t>$51</a:t>
                    </a:r>
                    <a:r>
                      <a:rPr lang="en-US" baseline="0"/>
                      <a:t> M</a:t>
                    </a:r>
                    <a:endParaRPr lang="en-US"/>
                  </a:p>
                </c:rich>
              </c:tx>
              <c:showVal val="1"/>
              <c:showCatName val="1"/>
            </c:dLbl>
            <c:dLbl>
              <c:idx val="1"/>
              <c:layout>
                <c:manualLayout>
                  <c:x val="-0.13788356782431307"/>
                  <c:y val="4.4559920029944522E-2"/>
                </c:manualLayout>
              </c:layout>
              <c:tx>
                <c:rich>
                  <a:bodyPr/>
                  <a:lstStyle/>
                  <a:p>
                    <a:r>
                      <a:rPr lang="en-US"/>
                      <a:t>CPP-D</a:t>
                    </a:r>
                  </a:p>
                  <a:p>
                    <a:r>
                      <a:rPr lang="en-US"/>
                      <a:t>$165</a:t>
                    </a:r>
                    <a:r>
                      <a:rPr lang="en-US" baseline="0"/>
                      <a:t> M</a:t>
                    </a:r>
                    <a:endParaRPr lang="en-US"/>
                  </a:p>
                </c:rich>
              </c:tx>
              <c:showVal val="1"/>
              <c:showCatName val="1"/>
            </c:dLbl>
            <c:dLbl>
              <c:idx val="2"/>
              <c:layout>
                <c:manualLayout>
                  <c:x val="-0.10584225303251329"/>
                  <c:y val="-0.12265273842153268"/>
                </c:manualLayout>
              </c:layout>
              <c:tx>
                <c:rich>
                  <a:bodyPr/>
                  <a:lstStyle/>
                  <a:p>
                    <a:r>
                      <a:rPr lang="en-US"/>
                      <a:t>EI Sickness</a:t>
                    </a:r>
                  </a:p>
                  <a:p>
                    <a:r>
                      <a:rPr lang="en-US"/>
                      <a:t>$67</a:t>
                    </a:r>
                    <a:r>
                      <a:rPr lang="en-US" baseline="0"/>
                      <a:t> M</a:t>
                    </a:r>
                    <a:endParaRPr lang="en-US"/>
                  </a:p>
                </c:rich>
              </c:tx>
              <c:showVal val="1"/>
              <c:showCatName val="1"/>
            </c:dLbl>
            <c:dLbl>
              <c:idx val="3"/>
              <c:layout>
                <c:manualLayout>
                  <c:x val="5.9539280353042429E-2"/>
                  <c:y val="-0.1345159059957842"/>
                </c:manualLayout>
              </c:layout>
              <c:tx>
                <c:rich>
                  <a:bodyPr/>
                  <a:lstStyle/>
                  <a:p>
                    <a:r>
                      <a:rPr lang="en-US"/>
                      <a:t>Veterans' Disability Pensions &amp; Awards</a:t>
                    </a:r>
                  </a:p>
                  <a:p>
                    <a:r>
                      <a:rPr lang="en-US"/>
                      <a:t>$135</a:t>
                    </a:r>
                    <a:r>
                      <a:rPr lang="en-US" baseline="0"/>
                      <a:t> M</a:t>
                    </a:r>
                    <a:endParaRPr lang="en-US"/>
                  </a:p>
                </c:rich>
              </c:tx>
              <c:showVal val="1"/>
              <c:showCatName val="1"/>
            </c:dLbl>
            <c:dLbl>
              <c:idx val="4"/>
              <c:layout>
                <c:manualLayout>
                  <c:x val="-1.7332749297172923E-2"/>
                  <c:y val="3.4637062155366063E-2"/>
                </c:manualLayout>
              </c:layout>
              <c:tx>
                <c:rich>
                  <a:bodyPr/>
                  <a:lstStyle/>
                  <a:p>
                    <a:r>
                      <a:rPr lang="en-US"/>
                      <a:t>Income Asst. for </a:t>
                    </a:r>
                  </a:p>
                  <a:p>
                    <a:r>
                      <a:rPr lang="en-US"/>
                      <a:t>the Disabled</a:t>
                    </a:r>
                  </a:p>
                  <a:p>
                    <a:r>
                      <a:rPr lang="en-US"/>
                      <a:t>$43</a:t>
                    </a:r>
                    <a:r>
                      <a:rPr lang="en-US" baseline="0"/>
                      <a:t> M</a:t>
                    </a:r>
                    <a:endParaRPr lang="en-US"/>
                  </a:p>
                </c:rich>
              </c:tx>
              <c:showVal val="1"/>
              <c:showCatName val="1"/>
            </c:dLbl>
            <c:dLbl>
              <c:idx val="5"/>
              <c:layout>
                <c:manualLayout>
                  <c:x val="-4.3462370264163337E-2"/>
                  <c:y val="-2.3614330044249201E-2"/>
                </c:manualLayout>
              </c:layout>
              <c:tx>
                <c:rich>
                  <a:bodyPr/>
                  <a:lstStyle/>
                  <a:p>
                    <a:r>
                      <a:rPr lang="en-US"/>
                      <a:t>First Nations SA for Disabled</a:t>
                    </a:r>
                  </a:p>
                  <a:p>
                    <a:r>
                      <a:rPr lang="en-US"/>
                      <a:t>$21 M</a:t>
                    </a:r>
                  </a:p>
                </c:rich>
              </c:tx>
              <c:showVal val="1"/>
              <c:showCatName val="1"/>
            </c:dLbl>
            <c:dLbl>
              <c:idx val="6"/>
              <c:layout>
                <c:manualLayout>
                  <c:x val="0.19711693271220773"/>
                  <c:y val="5.1159324321662085E-2"/>
                </c:manualLayout>
              </c:layout>
              <c:tx>
                <c:rich>
                  <a:bodyPr/>
                  <a:lstStyle/>
                  <a:p>
                    <a:r>
                      <a:rPr lang="en-US"/>
                      <a:t>Workers' Compensation $73</a:t>
                    </a:r>
                    <a:r>
                      <a:rPr lang="en-US" baseline="0"/>
                      <a:t> M</a:t>
                    </a:r>
                    <a:endParaRPr lang="en-US"/>
                  </a:p>
                </c:rich>
              </c:tx>
              <c:showVal val="1"/>
              <c:showCatName val="1"/>
            </c:dLbl>
            <c:dLbl>
              <c:idx val="7"/>
              <c:layout>
                <c:manualLayout>
                  <c:x val="0.11988351338808326"/>
                  <c:y val="0.17797277433942421"/>
                </c:manualLayout>
              </c:layout>
              <c:tx>
                <c:rich>
                  <a:bodyPr/>
                  <a:lstStyle/>
                  <a:p>
                    <a:r>
                      <a:rPr lang="en-US"/>
                      <a:t>Private Disability Insurance</a:t>
                    </a:r>
                  </a:p>
                  <a:p>
                    <a:r>
                      <a:rPr lang="en-US"/>
                      <a:t>$109</a:t>
                    </a:r>
                    <a:r>
                      <a:rPr lang="en-US" baseline="0"/>
                      <a:t> M</a:t>
                    </a:r>
                    <a:endParaRPr lang="en-US"/>
                  </a:p>
                </c:rich>
              </c:tx>
              <c:showVal val="1"/>
              <c:showCatName val="1"/>
            </c:dLbl>
            <c:txPr>
              <a:bodyPr/>
              <a:lstStyle/>
              <a:p>
                <a:pPr>
                  <a:defRPr sz="1200" b="1"/>
                </a:pPr>
                <a:endParaRPr lang="en-US"/>
              </a:p>
            </c:txPr>
            <c:showVal val="1"/>
            <c:showCatName val="1"/>
            <c:showLeaderLines val="1"/>
          </c:dLbls>
          <c:cat>
            <c:strRef>
              <c:f>(NB!$A$254:$A$259,NB!$A$261:$A$262)</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(NB!$H$254:$H$259,NB!$H$261:$H$262)</c:f>
              <c:numCache>
                <c:formatCode>#,##0.0</c:formatCode>
                <c:ptCount val="8"/>
                <c:pt idx="0">
                  <c:v>50.786119999999997</c:v>
                </c:pt>
                <c:pt idx="1">
                  <c:v>165.3</c:v>
                </c:pt>
                <c:pt idx="2">
                  <c:v>66.599999999999994</c:v>
                </c:pt>
                <c:pt idx="3">
                  <c:v>135.4</c:v>
                </c:pt>
                <c:pt idx="4">
                  <c:v>42.9</c:v>
                </c:pt>
                <c:pt idx="5">
                  <c:v>20.591999999999999</c:v>
                </c:pt>
                <c:pt idx="6">
                  <c:v>73.400000000000006</c:v>
                </c:pt>
                <c:pt idx="7">
                  <c:v>109</c:v>
                </c:pt>
              </c:numCache>
            </c:numRef>
          </c:val>
        </c:ser>
        <c:dLbls>
          <c:showCatName val="1"/>
          <c:showPercent val="1"/>
        </c:dLbls>
        <c:firstSliceAng val="0"/>
      </c:pieChart>
    </c:plotArea>
    <c:plotVisOnly val="1"/>
    <c:dispBlanksAs val="zero"/>
  </c:chart>
</c:chartSpace>
</file>

<file path=xl/charts/chart12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NEW BRUNSWICK 2010-11</a:t>
            </a:r>
            <a:endParaRPr lang="en-US"/>
          </a:p>
          <a:p>
            <a:pPr>
              <a:defRPr lang="en-US"/>
            </a:pPr>
            <a:r>
              <a:rPr lang="en-US" sz="1800" b="1" i="0" baseline="0"/>
              <a:t>$645 M</a:t>
            </a:r>
            <a:endParaRPr lang="en-US"/>
          </a:p>
        </c:rich>
      </c:tx>
    </c:title>
    <c:plotArea>
      <c:layout/>
      <c:pieChart>
        <c:varyColors val="1"/>
        <c:ser>
          <c:idx val="4"/>
          <c:order val="0"/>
          <c:dLbls>
            <c:dLbl>
              <c:idx val="0"/>
              <c:tx>
                <c:rich>
                  <a:bodyPr/>
                  <a:lstStyle/>
                  <a:p>
                    <a:r>
                      <a:rPr lang="en-US"/>
                      <a:t>Disability Tax Measures $48</a:t>
                    </a:r>
                    <a:r>
                      <a:rPr lang="en-US" baseline="0"/>
                      <a:t> M</a:t>
                    </a:r>
                    <a:endParaRPr lang="en-US"/>
                  </a:p>
                </c:rich>
              </c:tx>
              <c:showVal val="1"/>
              <c:showCatName val="1"/>
            </c:dLbl>
            <c:dLbl>
              <c:idx val="1"/>
              <c:layout>
                <c:manualLayout>
                  <c:x val="-0.13035009948876169"/>
                  <c:y val="6.0169840974071506E-2"/>
                </c:manualLayout>
              </c:layout>
              <c:tx>
                <c:rich>
                  <a:bodyPr/>
                  <a:lstStyle/>
                  <a:p>
                    <a:r>
                      <a:rPr lang="en-US"/>
                      <a:t>CPP-D</a:t>
                    </a:r>
                  </a:p>
                  <a:p>
                    <a:r>
                      <a:rPr lang="en-US"/>
                      <a:t>$158  M</a:t>
                    </a:r>
                  </a:p>
                </c:rich>
              </c:tx>
              <c:showVal val="1"/>
              <c:showCatName val="1"/>
            </c:dLbl>
            <c:dLbl>
              <c:idx val="2"/>
              <c:layout>
                <c:manualLayout>
                  <c:x val="-0.10081865894266021"/>
                  <c:y val="-9.5730929792355562E-2"/>
                </c:manualLayout>
              </c:layout>
              <c:tx>
                <c:rich>
                  <a:bodyPr/>
                  <a:lstStyle/>
                  <a:p>
                    <a:r>
                      <a:rPr lang="en-US"/>
                      <a:t>EI Sickness</a:t>
                    </a:r>
                  </a:p>
                  <a:p>
                    <a:r>
                      <a:rPr lang="en-US"/>
                      <a:t>$61</a:t>
                    </a:r>
                    <a:r>
                      <a:rPr lang="en-US" baseline="0"/>
                      <a:t> M</a:t>
                    </a:r>
                    <a:endParaRPr lang="en-US"/>
                  </a:p>
                </c:rich>
              </c:tx>
              <c:showVal val="1"/>
              <c:showCatName val="1"/>
            </c:dLbl>
            <c:dLbl>
              <c:idx val="3"/>
              <c:layout>
                <c:manualLayout>
                  <c:x val="4.1959641651460405E-2"/>
                  <c:y val="-0.14493208614833281"/>
                </c:manualLayout>
              </c:layout>
              <c:tx>
                <c:rich>
                  <a:bodyPr/>
                  <a:lstStyle/>
                  <a:p>
                    <a:r>
                      <a:rPr lang="en-US"/>
                      <a:t>Veterans' Disability Pensions &amp; Awards</a:t>
                    </a:r>
                  </a:p>
                  <a:p>
                    <a:r>
                      <a:rPr lang="en-US"/>
                      <a:t>$138</a:t>
                    </a:r>
                    <a:r>
                      <a:rPr lang="en-US" baseline="0"/>
                      <a:t> M</a:t>
                    </a:r>
                    <a:endParaRPr lang="en-US"/>
                  </a:p>
                </c:rich>
              </c:tx>
              <c:showVal val="1"/>
              <c:showCatName val="1"/>
            </c:dLbl>
            <c:dLbl>
              <c:idx val="4"/>
              <c:layout>
                <c:manualLayout>
                  <c:x val="-5.6413458375944494E-3"/>
                  <c:y val="1.3370405629283806E-2"/>
                </c:manualLayout>
              </c:layout>
              <c:tx>
                <c:rich>
                  <a:bodyPr/>
                  <a:lstStyle/>
                  <a:p>
                    <a:r>
                      <a:rPr lang="en-US"/>
                      <a:t>Income Asst. </a:t>
                    </a:r>
                  </a:p>
                  <a:p>
                    <a:r>
                      <a:rPr lang="en-US"/>
                      <a:t>for the Disabled</a:t>
                    </a:r>
                  </a:p>
                  <a:p>
                    <a:r>
                      <a:rPr lang="en-US"/>
                      <a:t>$42</a:t>
                    </a:r>
                    <a:r>
                      <a:rPr lang="en-US" baseline="0"/>
                      <a:t> M</a:t>
                    </a:r>
                    <a:endParaRPr lang="en-US"/>
                  </a:p>
                </c:rich>
              </c:tx>
              <c:showVal val="1"/>
              <c:showCatName val="1"/>
            </c:dLbl>
            <c:dLbl>
              <c:idx val="5"/>
              <c:layout>
                <c:manualLayout>
                  <c:x val="-2.4966689185030977E-2"/>
                  <c:y val="-4.4306134038635311E-3"/>
                </c:manualLayout>
              </c:layout>
              <c:tx>
                <c:rich>
                  <a:bodyPr/>
                  <a:lstStyle/>
                  <a:p>
                    <a:r>
                      <a:rPr lang="en-US"/>
                      <a:t>First Nations SA for Disabled</a:t>
                    </a:r>
                  </a:p>
                  <a:p>
                    <a:r>
                      <a:rPr lang="en-US"/>
                      <a:t>$21</a:t>
                    </a:r>
                    <a:r>
                      <a:rPr lang="en-US" baseline="0"/>
                      <a:t> M</a:t>
                    </a:r>
                    <a:endParaRPr lang="en-US"/>
                  </a:p>
                </c:rich>
              </c:tx>
              <c:showVal val="1"/>
              <c:showCatName val="1"/>
            </c:dLbl>
            <c:dLbl>
              <c:idx val="6"/>
              <c:layout>
                <c:manualLayout>
                  <c:x val="0.20243099227622682"/>
                  <c:y val="4.4343908926333928E-2"/>
                </c:manualLayout>
              </c:layout>
              <c:tx>
                <c:rich>
                  <a:bodyPr/>
                  <a:lstStyle/>
                  <a:p>
                    <a:r>
                      <a:rPr lang="en-US"/>
                      <a:t>Workers' Compensation $73</a:t>
                    </a:r>
                    <a:r>
                      <a:rPr lang="en-US" baseline="0"/>
                      <a:t> M</a:t>
                    </a:r>
                    <a:endParaRPr lang="en-US"/>
                  </a:p>
                </c:rich>
              </c:tx>
              <c:showVal val="1"/>
              <c:showCatName val="1"/>
            </c:dLbl>
            <c:dLbl>
              <c:idx val="7"/>
              <c:layout>
                <c:manualLayout>
                  <c:x val="0.11230550252484545"/>
                  <c:y val="0.16370303097445571"/>
                </c:manualLayout>
              </c:layout>
              <c:tx>
                <c:rich>
                  <a:bodyPr/>
                  <a:lstStyle/>
                  <a:p>
                    <a:r>
                      <a:rPr lang="en-US"/>
                      <a:t>Private Disability Insurance</a:t>
                    </a:r>
                  </a:p>
                  <a:p>
                    <a:r>
                      <a:rPr lang="en-US"/>
                      <a:t>$104</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(NB!$A$254:$A$259,NB!$A$261:$A$262)</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(NB!$F$254:$F$259,NB!$F$261:$F$262)</c:f>
              <c:numCache>
                <c:formatCode>#,##0.0</c:formatCode>
                <c:ptCount val="8"/>
                <c:pt idx="0">
                  <c:v>48.188799999999993</c:v>
                </c:pt>
                <c:pt idx="1">
                  <c:v>157.9</c:v>
                </c:pt>
                <c:pt idx="2">
                  <c:v>61.2</c:v>
                </c:pt>
                <c:pt idx="3">
                  <c:v>137.9</c:v>
                </c:pt>
                <c:pt idx="4">
                  <c:v>42.3</c:v>
                </c:pt>
                <c:pt idx="5">
                  <c:v>20.7636</c:v>
                </c:pt>
                <c:pt idx="6">
                  <c:v>73</c:v>
                </c:pt>
                <c:pt idx="7">
                  <c:v>104</c:v>
                </c:pt>
              </c:numCache>
            </c:numRef>
          </c:val>
        </c:ser>
        <c:dLbls>
          <c:showCatName val="1"/>
          <c:showPercent val="1"/>
        </c:dLbls>
        <c:firstSliceAng val="0"/>
      </c:pieChart>
    </c:plotArea>
    <c:plotVisOnly val="1"/>
    <c:dispBlanksAs val="zero"/>
  </c:chart>
</c:chartSpace>
</file>

<file path=xl/charts/chart12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p>
          <a:p>
            <a:pPr>
              <a:defRPr lang="en-US"/>
            </a:pPr>
            <a:r>
              <a:rPr lang="en-US" sz="1800" b="1" i="0" baseline="0"/>
              <a:t>NEW BRUNSWICK 2009-10</a:t>
            </a:r>
          </a:p>
          <a:p>
            <a:pPr>
              <a:defRPr lang="en-US"/>
            </a:pPr>
            <a:r>
              <a:rPr lang="en-US" sz="1800" b="1" i="0" baseline="0"/>
              <a:t>$616 M</a:t>
            </a:r>
            <a:endParaRPr lang="en-US"/>
          </a:p>
        </c:rich>
      </c:tx>
    </c:title>
    <c:plotArea>
      <c:layout>
        <c:manualLayout>
          <c:layoutTarget val="inner"/>
          <c:xMode val="edge"/>
          <c:yMode val="edge"/>
          <c:x val="0.2464138294564682"/>
          <c:y val="0.23029285695919771"/>
          <c:w val="0.50717234108705822"/>
          <c:h val="0.69850497152440083"/>
        </c:manualLayout>
      </c:layout>
      <c:pieChart>
        <c:varyColors val="1"/>
        <c:ser>
          <c:idx val="2"/>
          <c:order val="0"/>
          <c:dLbls>
            <c:dLbl>
              <c:idx val="0"/>
              <c:tx>
                <c:rich>
                  <a:bodyPr/>
                  <a:lstStyle/>
                  <a:p>
                    <a:r>
                      <a:rPr lang="en-US"/>
                      <a:t>Disability Tax Measures
$45</a:t>
                    </a:r>
                    <a:r>
                      <a:rPr lang="en-US" baseline="0"/>
                      <a:t> M</a:t>
                    </a:r>
                    <a:endParaRPr lang="en-US"/>
                  </a:p>
                </c:rich>
              </c:tx>
              <c:showVal val="1"/>
              <c:showCatName val="1"/>
            </c:dLbl>
            <c:dLbl>
              <c:idx val="1"/>
              <c:layout>
                <c:manualLayout>
                  <c:x val="-0.12675517052302301"/>
                  <c:y val="4.8346935996326307E-2"/>
                </c:manualLayout>
              </c:layout>
              <c:tx>
                <c:rich>
                  <a:bodyPr/>
                  <a:lstStyle/>
                  <a:p>
                    <a:r>
                      <a:rPr lang="en-US"/>
                      <a:t>CPP-D</a:t>
                    </a:r>
                  </a:p>
                  <a:p>
                    <a:r>
                      <a:rPr lang="en-US"/>
                      <a:t>$153 M</a:t>
                    </a:r>
                  </a:p>
                </c:rich>
              </c:tx>
              <c:showVal val="1"/>
              <c:showCatName val="1"/>
            </c:dLbl>
            <c:dLbl>
              <c:idx val="2"/>
              <c:layout>
                <c:manualLayout>
                  <c:x val="-0.10695520136189021"/>
                  <c:y val="-9.8982744494786251E-2"/>
                </c:manualLayout>
              </c:layout>
              <c:tx>
                <c:rich>
                  <a:bodyPr/>
                  <a:lstStyle/>
                  <a:p>
                    <a:r>
                      <a:rPr lang="en-US"/>
                      <a:t>EI Sickness</a:t>
                    </a:r>
                  </a:p>
                  <a:p>
                    <a:r>
                      <a:rPr lang="en-US"/>
                      <a:t>$61 M</a:t>
                    </a:r>
                  </a:p>
                </c:rich>
              </c:tx>
              <c:showVal val="1"/>
              <c:showCatName val="1"/>
            </c:dLbl>
            <c:dLbl>
              <c:idx val="3"/>
              <c:layout>
                <c:manualLayout>
                  <c:x val="3.1582409492654576E-2"/>
                  <c:y val="-0.14140457825290192"/>
                </c:manualLayout>
              </c:layout>
              <c:tx>
                <c:rich>
                  <a:bodyPr/>
                  <a:lstStyle/>
                  <a:p>
                    <a:r>
                      <a:rPr lang="en-US"/>
                      <a:t>Veterans' Disability Pensions &amp; Awards,</a:t>
                    </a:r>
                  </a:p>
                  <a:p>
                    <a:r>
                      <a:rPr lang="en-US"/>
                      <a:t>$122</a:t>
                    </a:r>
                    <a:r>
                      <a:rPr lang="en-US" baseline="0"/>
                      <a:t> M</a:t>
                    </a:r>
                    <a:endParaRPr lang="en-US"/>
                  </a:p>
                </c:rich>
              </c:tx>
              <c:showVal val="1"/>
              <c:showCatName val="1"/>
            </c:dLbl>
            <c:dLbl>
              <c:idx val="4"/>
              <c:layout>
                <c:manualLayout>
                  <c:x val="-1.4746647656280793E-2"/>
                  <c:y val="3.8041533965179251E-2"/>
                </c:manualLayout>
              </c:layout>
              <c:tx>
                <c:rich>
                  <a:bodyPr/>
                  <a:lstStyle/>
                  <a:p>
                    <a:r>
                      <a:rPr lang="en-US"/>
                      <a:t>Income Asst. for the Disabled</a:t>
                    </a:r>
                  </a:p>
                  <a:p>
                    <a:r>
                      <a:rPr lang="en-US"/>
                      <a:t>$42</a:t>
                    </a:r>
                    <a:r>
                      <a:rPr lang="en-US" baseline="0"/>
                      <a:t> M</a:t>
                    </a:r>
                    <a:endParaRPr lang="en-US"/>
                  </a:p>
                </c:rich>
              </c:tx>
              <c:showVal val="1"/>
              <c:showCatName val="1"/>
            </c:dLbl>
            <c:dLbl>
              <c:idx val="5"/>
              <c:layout>
                <c:manualLayout>
                  <c:x val="-2.4674492086420335E-2"/>
                  <c:y val="1.9663574945536512E-3"/>
                </c:manualLayout>
              </c:layout>
              <c:tx>
                <c:rich>
                  <a:bodyPr/>
                  <a:lstStyle/>
                  <a:p>
                    <a:r>
                      <a:rPr lang="en-US"/>
                      <a:t>First Nations SA for Disabled</a:t>
                    </a:r>
                  </a:p>
                  <a:p>
                    <a:r>
                      <a:rPr lang="en-US"/>
                      <a:t>$20</a:t>
                    </a:r>
                    <a:r>
                      <a:rPr lang="en-US" baseline="0"/>
                      <a:t> M</a:t>
                    </a:r>
                    <a:endParaRPr lang="en-US"/>
                  </a:p>
                </c:rich>
              </c:tx>
              <c:showVal val="1"/>
              <c:showCatName val="1"/>
            </c:dLbl>
            <c:dLbl>
              <c:idx val="6"/>
              <c:tx>
                <c:rich>
                  <a:bodyPr/>
                  <a:lstStyle/>
                  <a:p>
                    <a:r>
                      <a:rPr lang="en-US"/>
                      <a:t>Worker's Compensation $74</a:t>
                    </a:r>
                    <a:r>
                      <a:rPr lang="en-US" baseline="0"/>
                      <a:t> M</a:t>
                    </a:r>
                    <a:endParaRPr lang="en-US"/>
                  </a:p>
                </c:rich>
              </c:tx>
              <c:showVal val="1"/>
              <c:showCatName val="1"/>
            </c:dLbl>
            <c:dLbl>
              <c:idx val="7"/>
              <c:layout>
                <c:manualLayout>
                  <c:x val="0.12130270697476959"/>
                  <c:y val="0.18346913775803586"/>
                </c:manualLayout>
              </c:layout>
              <c:tx>
                <c:rich>
                  <a:bodyPr/>
                  <a:lstStyle/>
                  <a:p>
                    <a:r>
                      <a:rPr lang="en-US"/>
                      <a:t>Private Disability Insurance</a:t>
                    </a:r>
                  </a:p>
                  <a:p>
                    <a:r>
                      <a:rPr lang="en-US"/>
                      <a:t>$99</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(NB!$A$254:$A$259,NB!$A$261:$A$262)</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(NB!$D$254:$D$259,NB!$D$261:$D$262)</c:f>
              <c:numCache>
                <c:formatCode>#,##0.0</c:formatCode>
                <c:ptCount val="8"/>
                <c:pt idx="0">
                  <c:v>45.067</c:v>
                </c:pt>
                <c:pt idx="1">
                  <c:v>152.6</c:v>
                </c:pt>
                <c:pt idx="2">
                  <c:v>60.6</c:v>
                </c:pt>
                <c:pt idx="3">
                  <c:v>121.812</c:v>
                </c:pt>
                <c:pt idx="4">
                  <c:v>42.2</c:v>
                </c:pt>
                <c:pt idx="5">
                  <c:v>20.405000000000001</c:v>
                </c:pt>
                <c:pt idx="6">
                  <c:v>73.900000000000006</c:v>
                </c:pt>
                <c:pt idx="7">
                  <c:v>99</c:v>
                </c:pt>
              </c:numCache>
            </c:numRef>
          </c:val>
        </c:ser>
        <c:dLbls>
          <c:showCatName val="1"/>
          <c:showPercent val="1"/>
        </c:dLbls>
        <c:firstSliceAng val="0"/>
      </c:pieChart>
    </c:plotArea>
    <c:plotVisOnly val="1"/>
    <c:dispBlanksAs val="zero"/>
  </c:chart>
</c:chartSpace>
</file>

<file path=xl/charts/chart12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p>
          <a:p>
            <a:pPr>
              <a:defRPr/>
            </a:pPr>
            <a:r>
              <a:rPr lang="en-US" sz="1800" b="1" i="0" baseline="0"/>
              <a:t>PERCENTAGE CHANGE IN EXPSNDITURES FROM 2005 TO 2013</a:t>
            </a:r>
          </a:p>
          <a:p>
            <a:pPr>
              <a:defRPr/>
            </a:pPr>
            <a:r>
              <a:rPr lang="en-US" sz="1800" b="1" i="0" baseline="0"/>
              <a:t>NEW BRUNSWICK</a:t>
            </a:r>
            <a:endParaRPr lang="en-CA"/>
          </a:p>
        </c:rich>
      </c:tx>
    </c:title>
    <c:plotArea>
      <c:layout>
        <c:manualLayout>
          <c:layoutTarget val="inner"/>
          <c:xMode val="edge"/>
          <c:yMode val="edge"/>
          <c:x val="6.3078673269135493E-2"/>
          <c:y val="0.17357613709806063"/>
          <c:w val="0.93545662309000344"/>
          <c:h val="0.69082905383807891"/>
        </c:manualLayout>
      </c:layout>
      <c:barChart>
        <c:barDir val="col"/>
        <c:grouping val="clustered"/>
        <c:ser>
          <c:idx val="0"/>
          <c:order val="0"/>
          <c:spPr>
            <a:solidFill>
              <a:srgbClr val="F79646"/>
            </a:solidFill>
          </c:spPr>
          <c:dLbls>
            <c:dLbl>
              <c:idx val="1"/>
              <c:layout>
                <c:manualLayout>
                  <c:x val="0"/>
                  <c:y val="-1.2106083608871186E-2"/>
                </c:manualLayout>
              </c:layout>
              <c:showVal val="1"/>
            </c:dLbl>
            <c:dLbl>
              <c:idx val="2"/>
              <c:layout>
                <c:manualLayout>
                  <c:x val="0"/>
                  <c:y val="-4.0353612029570673E-3"/>
                </c:manualLayout>
              </c:layout>
              <c:showVal val="1"/>
            </c:dLbl>
            <c:dLbl>
              <c:idx val="4"/>
              <c:layout>
                <c:manualLayout>
                  <c:x val="0"/>
                  <c:y val="-4.0353612029570673E-3"/>
                </c:manualLayout>
              </c:layout>
              <c:showVal val="1"/>
            </c:dLbl>
            <c:txPr>
              <a:bodyPr/>
              <a:lstStyle/>
              <a:p>
                <a:pPr>
                  <a:defRPr sz="1200" b="1"/>
                </a:pPr>
                <a:endParaRPr lang="en-US"/>
              </a:p>
            </c:txPr>
            <c:showVal val="1"/>
          </c:dLbls>
          <c:cat>
            <c:strRef>
              <c:f>NB!$A$254:$A$262</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Workers' Compensation </c:v>
                </c:pt>
                <c:pt idx="8">
                  <c:v>Private Disability Insurance</c:v>
                </c:pt>
              </c:strCache>
            </c:strRef>
          </c:cat>
          <c:val>
            <c:numRef>
              <c:f>NB!$M$254:$M$262</c:f>
              <c:numCache>
                <c:formatCode>0.0%</c:formatCode>
                <c:ptCount val="9"/>
                <c:pt idx="0">
                  <c:v>0.41051995931858609</c:v>
                </c:pt>
                <c:pt idx="1">
                  <c:v>0.16509775524981907</c:v>
                </c:pt>
                <c:pt idx="2">
                  <c:v>0.67703349282296643</c:v>
                </c:pt>
                <c:pt idx="3">
                  <c:v>0.54589371980676349</c:v>
                </c:pt>
                <c:pt idx="4">
                  <c:v>0.17724867724867735</c:v>
                </c:pt>
                <c:pt idx="5">
                  <c:v>0.31799942644106693</c:v>
                </c:pt>
                <c:pt idx="6">
                  <c:v>0.22167683533991134</c:v>
                </c:pt>
                <c:pt idx="7">
                  <c:v>4.5911047345767612E-2</c:v>
                </c:pt>
                <c:pt idx="8">
                  <c:v>0.79746835443037978</c:v>
                </c:pt>
              </c:numCache>
            </c:numRef>
          </c:val>
        </c:ser>
        <c:dLbls/>
        <c:gapWidth val="50"/>
        <c:axId val="72038272"/>
        <c:axId val="72039808"/>
      </c:barChart>
      <c:catAx>
        <c:axId val="72038272"/>
        <c:scaling>
          <c:orientation val="minMax"/>
        </c:scaling>
        <c:axPos val="b"/>
        <c:majorTickMark val="none"/>
        <c:tickLblPos val="nextTo"/>
        <c:txPr>
          <a:bodyPr/>
          <a:lstStyle/>
          <a:p>
            <a:pPr>
              <a:defRPr sz="1100" b="1"/>
            </a:pPr>
            <a:endParaRPr lang="en-US"/>
          </a:p>
        </c:txPr>
        <c:crossAx val="72039808"/>
        <c:crosses val="autoZero"/>
        <c:auto val="1"/>
        <c:lblAlgn val="ctr"/>
        <c:lblOffset val="100"/>
      </c:catAx>
      <c:valAx>
        <c:axId val="72039808"/>
        <c:scaling>
          <c:orientation val="minMax"/>
        </c:scaling>
        <c:axPos val="l"/>
        <c:majorGridlines/>
        <c:numFmt formatCode="0%" sourceLinked="0"/>
        <c:majorTickMark val="none"/>
        <c:tickLblPos val="nextTo"/>
        <c:crossAx val="72038272"/>
        <c:crosses val="autoZero"/>
        <c:crossBetween val="between"/>
      </c:valAx>
    </c:plotArea>
    <c:plotVisOnly val="1"/>
    <c:dispBlanksAs val="gap"/>
  </c:chart>
</c:chartSpace>
</file>

<file path=xl/charts/chart12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2010-11 </a:t>
            </a:r>
            <a:endParaRPr lang="en-US"/>
          </a:p>
          <a:p>
            <a:pPr>
              <a:defRPr lang="en-US"/>
            </a:pPr>
            <a:r>
              <a:rPr lang="en-US" sz="1800" b="1" i="0" baseline="0"/>
              <a:t>New Brunswick</a:t>
            </a:r>
          </a:p>
        </c:rich>
      </c:tx>
    </c:title>
    <c:plotArea>
      <c:layout/>
      <c:barChart>
        <c:barDir val="col"/>
        <c:grouping val="clustered"/>
        <c:ser>
          <c:idx val="5"/>
          <c:order val="0"/>
          <c:spPr>
            <a:solidFill>
              <a:schemeClr val="accent3"/>
            </a:solidFill>
          </c:spPr>
          <c:dLbls>
            <c:dLbl>
              <c:idx val="5"/>
              <c:layout>
                <c:manualLayout>
                  <c:x val="0"/>
                  <c:y val="6.0471563921617524E-3"/>
                </c:manualLayout>
              </c:layout>
              <c:showVal val="1"/>
            </c:dLbl>
            <c:txPr>
              <a:bodyPr/>
              <a:lstStyle/>
              <a:p>
                <a:pPr>
                  <a:defRPr lang="en-US" sz="1200" b="1" i="0" baseline="0"/>
                </a:pPr>
                <a:endParaRPr lang="en-US"/>
              </a:p>
            </c:txPr>
            <c:showVal val="1"/>
          </c:dLbls>
          <c:cat>
            <c:strRef>
              <c:f>NB!$A$254:$A$262</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Workers' Compensation </c:v>
                </c:pt>
                <c:pt idx="8">
                  <c:v>Private Disability Insurance</c:v>
                </c:pt>
              </c:strCache>
            </c:strRef>
          </c:cat>
          <c:val>
            <c:numRef>
              <c:f>NB!$G$254:$G$262</c:f>
              <c:numCache>
                <c:formatCode>0.0%</c:formatCode>
                <c:ptCount val="9"/>
                <c:pt idx="0">
                  <c:v>0.22524281718789693</c:v>
                </c:pt>
                <c:pt idx="1">
                  <c:v>0.14337436640115866</c:v>
                </c:pt>
                <c:pt idx="2">
                  <c:v>0.46411483253588531</c:v>
                </c:pt>
                <c:pt idx="3">
                  <c:v>0.51405357927097062</c:v>
                </c:pt>
                <c:pt idx="4">
                  <c:v>0.11904761904761905</c:v>
                </c:pt>
                <c:pt idx="5">
                  <c:v>0.19091482649842256</c:v>
                </c:pt>
                <c:pt idx="6">
                  <c:v>0.14173259708518141</c:v>
                </c:pt>
                <c:pt idx="7">
                  <c:v>4.7345767575322772E-2</c:v>
                </c:pt>
                <c:pt idx="8">
                  <c:v>0.31645569620253167</c:v>
                </c:pt>
              </c:numCache>
            </c:numRef>
          </c:val>
        </c:ser>
        <c:dLbls/>
        <c:gapWidth val="50"/>
        <c:axId val="72088960"/>
        <c:axId val="72094848"/>
      </c:barChart>
      <c:catAx>
        <c:axId val="72088960"/>
        <c:scaling>
          <c:orientation val="minMax"/>
        </c:scaling>
        <c:axPos val="b"/>
        <c:majorTickMark val="none"/>
        <c:tickLblPos val="nextTo"/>
        <c:txPr>
          <a:bodyPr/>
          <a:lstStyle/>
          <a:p>
            <a:pPr>
              <a:defRPr lang="en-US" sz="1100" b="1" i="0" baseline="0"/>
            </a:pPr>
            <a:endParaRPr lang="en-US"/>
          </a:p>
        </c:txPr>
        <c:crossAx val="72094848"/>
        <c:crosses val="autoZero"/>
        <c:auto val="1"/>
        <c:lblAlgn val="ctr"/>
        <c:lblOffset val="100"/>
      </c:catAx>
      <c:valAx>
        <c:axId val="72094848"/>
        <c:scaling>
          <c:orientation val="minMax"/>
        </c:scaling>
        <c:axPos val="l"/>
        <c:majorGridlines/>
        <c:numFmt formatCode="0%" sourceLinked="0"/>
        <c:majorTickMark val="none"/>
        <c:tickLblPos val="nextTo"/>
        <c:txPr>
          <a:bodyPr/>
          <a:lstStyle/>
          <a:p>
            <a:pPr>
              <a:defRPr lang="en-US"/>
            </a:pPr>
            <a:endParaRPr lang="en-US"/>
          </a:p>
        </c:txPr>
        <c:crossAx val="72088960"/>
        <c:crosses val="autoZero"/>
        <c:crossBetween val="between"/>
      </c:valAx>
    </c:plotArea>
    <c:plotVisOnly val="1"/>
    <c:dispBlanksAs val="gap"/>
  </c:chart>
</c:chartSpace>
</file>

<file path=xl/charts/chart12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2009-10 </a:t>
            </a:r>
          </a:p>
          <a:p>
            <a:pPr>
              <a:defRPr lang="en-US"/>
            </a:pPr>
            <a:r>
              <a:rPr lang="en-US" sz="1800" b="1" i="0" baseline="0"/>
              <a:t>New Brunswick</a:t>
            </a:r>
          </a:p>
        </c:rich>
      </c:tx>
    </c:title>
    <c:plotArea>
      <c:layout/>
      <c:barChart>
        <c:barDir val="col"/>
        <c:grouping val="clustered"/>
        <c:ser>
          <c:idx val="3"/>
          <c:order val="0"/>
          <c:spPr>
            <a:solidFill>
              <a:srgbClr val="4F81BD"/>
            </a:solidFill>
          </c:spPr>
          <c:dLbls>
            <c:dLbl>
              <c:idx val="3"/>
              <c:layout>
                <c:manualLayout>
                  <c:x val="0"/>
                  <c:y val="-1.2094312784323318E-2"/>
                </c:manualLayout>
              </c:layout>
              <c:showVal val="1"/>
            </c:dLbl>
            <c:dLbl>
              <c:idx val="6"/>
              <c:layout>
                <c:manualLayout>
                  <c:x val="0"/>
                  <c:y val="-1.2094312784323318E-2"/>
                </c:manualLayout>
              </c:layout>
              <c:showVal val="1"/>
            </c:dLbl>
            <c:txPr>
              <a:bodyPr/>
              <a:lstStyle/>
              <a:p>
                <a:pPr>
                  <a:defRPr lang="en-US" sz="1200" b="1" i="0" baseline="0"/>
                </a:pPr>
                <a:endParaRPr lang="en-US"/>
              </a:p>
            </c:txPr>
            <c:showVal val="1"/>
          </c:dLbls>
          <c:cat>
            <c:strRef>
              <c:f>NB!$A$254:$A$262</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Workers' Compensation </c:v>
                </c:pt>
                <c:pt idx="8">
                  <c:v>Private Disability Insurance</c:v>
                </c:pt>
              </c:strCache>
            </c:strRef>
          </c:cat>
          <c:val>
            <c:numRef>
              <c:f>NB!$E$254:$E$262</c:f>
              <c:numCache>
                <c:formatCode>0.0%</c:formatCode>
                <c:ptCount val="9"/>
                <c:pt idx="0">
                  <c:v>0.14586829392321368</c:v>
                </c:pt>
                <c:pt idx="1">
                  <c:v>0.1049963794351919</c:v>
                </c:pt>
                <c:pt idx="2">
                  <c:v>0.44976076555023936</c:v>
                </c:pt>
                <c:pt idx="3">
                  <c:v>0.33741765480895913</c:v>
                </c:pt>
                <c:pt idx="4">
                  <c:v>0.11640211640211656</c:v>
                </c:pt>
                <c:pt idx="5">
                  <c:v>0.17034700315457404</c:v>
                </c:pt>
                <c:pt idx="6">
                  <c:v>0.13342989046800044</c:v>
                </c:pt>
                <c:pt idx="7">
                  <c:v>6.0258249641319983E-2</c:v>
                </c:pt>
                <c:pt idx="8">
                  <c:v>0.25316455696202533</c:v>
                </c:pt>
              </c:numCache>
            </c:numRef>
          </c:val>
        </c:ser>
        <c:dLbls/>
        <c:gapWidth val="50"/>
        <c:axId val="85402752"/>
        <c:axId val="85404288"/>
      </c:barChart>
      <c:catAx>
        <c:axId val="85402752"/>
        <c:scaling>
          <c:orientation val="minMax"/>
        </c:scaling>
        <c:axPos val="b"/>
        <c:majorTickMark val="none"/>
        <c:tickLblPos val="nextTo"/>
        <c:txPr>
          <a:bodyPr/>
          <a:lstStyle/>
          <a:p>
            <a:pPr>
              <a:defRPr lang="en-US" sz="1100" b="1" baseline="0"/>
            </a:pPr>
            <a:endParaRPr lang="en-US"/>
          </a:p>
        </c:txPr>
        <c:crossAx val="85404288"/>
        <c:crosses val="autoZero"/>
        <c:auto val="1"/>
        <c:lblAlgn val="ctr"/>
        <c:lblOffset val="100"/>
      </c:catAx>
      <c:valAx>
        <c:axId val="85404288"/>
        <c:scaling>
          <c:orientation val="minMax"/>
        </c:scaling>
        <c:axPos val="l"/>
        <c:majorGridlines/>
        <c:numFmt formatCode="0%" sourceLinked="0"/>
        <c:majorTickMark val="none"/>
        <c:tickLblPos val="nextTo"/>
        <c:txPr>
          <a:bodyPr/>
          <a:lstStyle/>
          <a:p>
            <a:pPr>
              <a:defRPr lang="en-US"/>
            </a:pPr>
            <a:endParaRPr lang="en-US"/>
          </a:p>
        </c:txPr>
        <c:crossAx val="85402752"/>
        <c:crosses val="autoZero"/>
        <c:crossBetween val="between"/>
      </c:valAx>
    </c:plotArea>
    <c:plotVisOnly val="1"/>
    <c:dispBlanksAs val="gap"/>
  </c:chart>
  <c:userShapes r:id="rId1"/>
</c:chartSpace>
</file>

<file path=xl/charts/chart12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p>
          <a:p>
            <a:pPr>
              <a:defRPr/>
            </a:pPr>
            <a:r>
              <a:rPr lang="en-US" sz="1800" b="1" i="0" baseline="0"/>
              <a:t>Percentage Change in Expenditures from 2005-06 to </a:t>
            </a:r>
            <a:endParaRPr lang="en-CA"/>
          </a:p>
          <a:p>
            <a:pPr>
              <a:defRPr/>
            </a:pPr>
            <a:r>
              <a:rPr lang="en-US" sz="1800" b="1" i="0" baseline="0"/>
              <a:t>2009-10, 2010-11  and 2011-12</a:t>
            </a:r>
            <a:endParaRPr lang="en-CA"/>
          </a:p>
          <a:p>
            <a:pPr>
              <a:defRPr/>
            </a:pPr>
            <a:r>
              <a:rPr lang="en-US" sz="1800" b="1" i="0" baseline="0"/>
              <a:t>New Brunswick</a:t>
            </a:r>
            <a:endParaRPr lang="en-CA"/>
          </a:p>
        </c:rich>
      </c:tx>
    </c:title>
    <c:plotArea>
      <c:layout/>
      <c:barChart>
        <c:barDir val="col"/>
        <c:grouping val="clustered"/>
        <c:ser>
          <c:idx val="0"/>
          <c:order val="0"/>
          <c:tx>
            <c:strRef>
              <c:f>NB!$E$253</c:f>
              <c:strCache>
                <c:ptCount val="1"/>
                <c:pt idx="0">
                  <c:v>% change since 2005-06</c:v>
                </c:pt>
              </c:strCache>
            </c:strRef>
          </c:tx>
          <c:cat>
            <c:strRef>
              <c:f>NB!$A$254:$A$262</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Workers' Compensation </c:v>
                </c:pt>
                <c:pt idx="8">
                  <c:v>Private Disability Insurance</c:v>
                </c:pt>
              </c:strCache>
            </c:strRef>
          </c:cat>
          <c:val>
            <c:numRef>
              <c:f>NB!$E$254:$E$262</c:f>
              <c:numCache>
                <c:formatCode>0.0%</c:formatCode>
                <c:ptCount val="9"/>
                <c:pt idx="0">
                  <c:v>0.14586829392321368</c:v>
                </c:pt>
                <c:pt idx="1">
                  <c:v>0.1049963794351919</c:v>
                </c:pt>
                <c:pt idx="2">
                  <c:v>0.44976076555023936</c:v>
                </c:pt>
                <c:pt idx="3">
                  <c:v>0.33741765480895913</c:v>
                </c:pt>
                <c:pt idx="4">
                  <c:v>0.11640211640211656</c:v>
                </c:pt>
                <c:pt idx="5">
                  <c:v>0.17034700315457404</c:v>
                </c:pt>
                <c:pt idx="6">
                  <c:v>0.13342989046800044</c:v>
                </c:pt>
                <c:pt idx="7">
                  <c:v>6.0258249641319983E-2</c:v>
                </c:pt>
                <c:pt idx="8">
                  <c:v>0.25316455696202533</c:v>
                </c:pt>
              </c:numCache>
            </c:numRef>
          </c:val>
        </c:ser>
        <c:ser>
          <c:idx val="1"/>
          <c:order val="1"/>
          <c:tx>
            <c:strRef>
              <c:f>NB!$G$253</c:f>
              <c:strCache>
                <c:ptCount val="1"/>
                <c:pt idx="0">
                  <c:v>% change since 2005-06</c:v>
                </c:pt>
              </c:strCache>
            </c:strRef>
          </c:tx>
          <c:spPr>
            <a:solidFill>
              <a:schemeClr val="accent3"/>
            </a:solidFill>
          </c:spPr>
          <c:cat>
            <c:strRef>
              <c:f>NB!$A$254:$A$262</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Workers' Compensation </c:v>
                </c:pt>
                <c:pt idx="8">
                  <c:v>Private Disability Insurance</c:v>
                </c:pt>
              </c:strCache>
            </c:strRef>
          </c:cat>
          <c:val>
            <c:numRef>
              <c:f>NB!$G$254:$G$262</c:f>
              <c:numCache>
                <c:formatCode>0.0%</c:formatCode>
                <c:ptCount val="9"/>
                <c:pt idx="0">
                  <c:v>0.22524281718789693</c:v>
                </c:pt>
                <c:pt idx="1">
                  <c:v>0.14337436640115866</c:v>
                </c:pt>
                <c:pt idx="2">
                  <c:v>0.46411483253588531</c:v>
                </c:pt>
                <c:pt idx="3">
                  <c:v>0.51405357927097062</c:v>
                </c:pt>
                <c:pt idx="4">
                  <c:v>0.11904761904761905</c:v>
                </c:pt>
                <c:pt idx="5">
                  <c:v>0.19091482649842256</c:v>
                </c:pt>
                <c:pt idx="6">
                  <c:v>0.14173259708518141</c:v>
                </c:pt>
                <c:pt idx="7">
                  <c:v>4.7345767575322772E-2</c:v>
                </c:pt>
                <c:pt idx="8">
                  <c:v>0.31645569620253167</c:v>
                </c:pt>
              </c:numCache>
            </c:numRef>
          </c:val>
        </c:ser>
        <c:ser>
          <c:idx val="2"/>
          <c:order val="2"/>
          <c:tx>
            <c:strRef>
              <c:f>NB!$I$253</c:f>
              <c:strCache>
                <c:ptCount val="1"/>
                <c:pt idx="0">
                  <c:v>% change since 2005-06</c:v>
                </c:pt>
              </c:strCache>
            </c:strRef>
          </c:tx>
          <c:spPr>
            <a:solidFill>
              <a:schemeClr val="accent6">
                <a:lumMod val="75000"/>
              </a:schemeClr>
            </a:solidFill>
          </c:spPr>
          <c:cat>
            <c:strRef>
              <c:f>NB!$A$254:$A$262</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Workers' Compensation </c:v>
                </c:pt>
                <c:pt idx="8">
                  <c:v>Private Disability Insurance</c:v>
                </c:pt>
              </c:strCache>
            </c:strRef>
          </c:cat>
          <c:val>
            <c:numRef>
              <c:f>NB!$I$254:$I$262</c:f>
              <c:numCache>
                <c:formatCode>0.0%</c:formatCode>
                <c:ptCount val="9"/>
                <c:pt idx="0">
                  <c:v>0.29128197304856318</c:v>
                </c:pt>
                <c:pt idx="1">
                  <c:v>0.19695872556118768</c:v>
                </c:pt>
                <c:pt idx="2">
                  <c:v>0.59330143540669855</c:v>
                </c:pt>
                <c:pt idx="3">
                  <c:v>0.48660518225735627</c:v>
                </c:pt>
                <c:pt idx="4">
                  <c:v>0.13492063492063497</c:v>
                </c:pt>
                <c:pt idx="5">
                  <c:v>0.18107255520504709</c:v>
                </c:pt>
                <c:pt idx="6">
                  <c:v>0.14948854892731053</c:v>
                </c:pt>
                <c:pt idx="7">
                  <c:v>5.3084648493543794E-2</c:v>
                </c:pt>
                <c:pt idx="8">
                  <c:v>0.379746835443038</c:v>
                </c:pt>
              </c:numCache>
            </c:numRef>
          </c:val>
        </c:ser>
        <c:dLbls/>
        <c:gapWidth val="75"/>
        <c:axId val="85542016"/>
        <c:axId val="85543552"/>
      </c:barChart>
      <c:catAx>
        <c:axId val="85542016"/>
        <c:scaling>
          <c:orientation val="minMax"/>
        </c:scaling>
        <c:axPos val="b"/>
        <c:majorTickMark val="none"/>
        <c:tickLblPos val="nextTo"/>
        <c:txPr>
          <a:bodyPr/>
          <a:lstStyle/>
          <a:p>
            <a:pPr>
              <a:defRPr sz="1100" b="1"/>
            </a:pPr>
            <a:endParaRPr lang="en-US"/>
          </a:p>
        </c:txPr>
        <c:crossAx val="85543552"/>
        <c:crosses val="autoZero"/>
        <c:auto val="1"/>
        <c:lblAlgn val="ctr"/>
        <c:lblOffset val="100"/>
      </c:catAx>
      <c:valAx>
        <c:axId val="85543552"/>
        <c:scaling>
          <c:orientation val="minMax"/>
        </c:scaling>
        <c:axPos val="l"/>
        <c:majorGridlines/>
        <c:numFmt formatCode="0%" sourceLinked="0"/>
        <c:majorTickMark val="none"/>
        <c:tickLblPos val="nextTo"/>
        <c:crossAx val="85542016"/>
        <c:crosses val="autoZero"/>
        <c:crossBetween val="between"/>
      </c:valAx>
    </c:plotArea>
    <c:plotVisOnly val="1"/>
    <c:dispBlanksAs val="gap"/>
  </c:chart>
  <c:userShapes r:id="rId1"/>
</c:chartSpace>
</file>

<file path=xl/charts/chart12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a:t>
            </a:r>
          </a:p>
          <a:p>
            <a:pPr>
              <a:defRPr lang="en-US"/>
            </a:pPr>
            <a:r>
              <a:rPr lang="en-US" sz="1800" b="1" i="0" baseline="0"/>
              <a:t>2009-10 and 2010-11 </a:t>
            </a:r>
          </a:p>
          <a:p>
            <a:pPr>
              <a:defRPr lang="en-US"/>
            </a:pPr>
            <a:r>
              <a:rPr lang="en-US" sz="1800" b="1" i="0" baseline="0"/>
              <a:t>New Brunswick</a:t>
            </a:r>
            <a:endParaRPr lang="en-US"/>
          </a:p>
        </c:rich>
      </c:tx>
    </c:title>
    <c:plotArea>
      <c:layout/>
      <c:barChart>
        <c:barDir val="col"/>
        <c:grouping val="clustered"/>
        <c:ser>
          <c:idx val="3"/>
          <c:order val="0"/>
          <c:spPr>
            <a:solidFill>
              <a:schemeClr val="accent1"/>
            </a:solidFill>
          </c:spPr>
          <c:cat>
            <c:strRef>
              <c:f>NB!$A$254:$A$262</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Workers' Compensation </c:v>
                </c:pt>
                <c:pt idx="8">
                  <c:v>Private Disability Insurance</c:v>
                </c:pt>
              </c:strCache>
            </c:strRef>
          </c:cat>
          <c:val>
            <c:numRef>
              <c:f>NB!$E$254:$E$262</c:f>
              <c:numCache>
                <c:formatCode>0.0%</c:formatCode>
                <c:ptCount val="9"/>
                <c:pt idx="0">
                  <c:v>0.14586829392321368</c:v>
                </c:pt>
                <c:pt idx="1">
                  <c:v>0.1049963794351919</c:v>
                </c:pt>
                <c:pt idx="2">
                  <c:v>0.44976076555023936</c:v>
                </c:pt>
                <c:pt idx="3">
                  <c:v>0.33741765480895913</c:v>
                </c:pt>
                <c:pt idx="4">
                  <c:v>0.11640211640211656</c:v>
                </c:pt>
                <c:pt idx="5">
                  <c:v>0.17034700315457404</c:v>
                </c:pt>
                <c:pt idx="6">
                  <c:v>0.13342989046800044</c:v>
                </c:pt>
                <c:pt idx="7">
                  <c:v>6.0258249641319983E-2</c:v>
                </c:pt>
                <c:pt idx="8">
                  <c:v>0.25316455696202533</c:v>
                </c:pt>
              </c:numCache>
            </c:numRef>
          </c:val>
        </c:ser>
        <c:ser>
          <c:idx val="5"/>
          <c:order val="1"/>
          <c:spPr>
            <a:solidFill>
              <a:schemeClr val="accent3"/>
            </a:solidFill>
          </c:spPr>
          <c:cat>
            <c:strRef>
              <c:f>NB!$A$254:$A$262</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Workers' Compensation </c:v>
                </c:pt>
                <c:pt idx="8">
                  <c:v>Private Disability Insurance</c:v>
                </c:pt>
              </c:strCache>
            </c:strRef>
          </c:cat>
          <c:val>
            <c:numRef>
              <c:f>NB!$G$254:$G$262</c:f>
              <c:numCache>
                <c:formatCode>0.0%</c:formatCode>
                <c:ptCount val="9"/>
                <c:pt idx="0">
                  <c:v>0.22524281718789693</c:v>
                </c:pt>
                <c:pt idx="1">
                  <c:v>0.14337436640115866</c:v>
                </c:pt>
                <c:pt idx="2">
                  <c:v>0.46411483253588531</c:v>
                </c:pt>
                <c:pt idx="3">
                  <c:v>0.51405357927097062</c:v>
                </c:pt>
                <c:pt idx="4">
                  <c:v>0.11904761904761905</c:v>
                </c:pt>
                <c:pt idx="5">
                  <c:v>0.19091482649842256</c:v>
                </c:pt>
                <c:pt idx="6">
                  <c:v>0.14173259708518141</c:v>
                </c:pt>
                <c:pt idx="7">
                  <c:v>4.7345767575322772E-2</c:v>
                </c:pt>
                <c:pt idx="8">
                  <c:v>0.31645569620253167</c:v>
                </c:pt>
              </c:numCache>
            </c:numRef>
          </c:val>
        </c:ser>
        <c:dLbls/>
        <c:gapWidth val="75"/>
        <c:axId val="85864448"/>
        <c:axId val="85865984"/>
      </c:barChart>
      <c:catAx>
        <c:axId val="85864448"/>
        <c:scaling>
          <c:orientation val="minMax"/>
        </c:scaling>
        <c:axPos val="b"/>
        <c:majorTickMark val="none"/>
        <c:tickLblPos val="nextTo"/>
        <c:txPr>
          <a:bodyPr/>
          <a:lstStyle/>
          <a:p>
            <a:pPr>
              <a:defRPr lang="en-US" sz="1100" b="1" i="0" baseline="0"/>
            </a:pPr>
            <a:endParaRPr lang="en-US"/>
          </a:p>
        </c:txPr>
        <c:crossAx val="85865984"/>
        <c:crosses val="autoZero"/>
        <c:auto val="1"/>
        <c:lblAlgn val="ctr"/>
        <c:lblOffset val="100"/>
      </c:catAx>
      <c:valAx>
        <c:axId val="85865984"/>
        <c:scaling>
          <c:orientation val="minMax"/>
        </c:scaling>
        <c:axPos val="l"/>
        <c:majorGridlines/>
        <c:numFmt formatCode="0%" sourceLinked="0"/>
        <c:majorTickMark val="none"/>
        <c:tickLblPos val="nextTo"/>
        <c:txPr>
          <a:bodyPr/>
          <a:lstStyle/>
          <a:p>
            <a:pPr>
              <a:defRPr lang="en-US"/>
            </a:pPr>
            <a:endParaRPr lang="en-US"/>
          </a:p>
        </c:txPr>
        <c:crossAx val="85864448"/>
        <c:crosses val="autoZero"/>
        <c:crossBetween val="between"/>
      </c:valAx>
    </c:plotArea>
    <c:plotVisOnly val="1"/>
    <c:dispBlanksAs val="gap"/>
  </c:chart>
  <c:userShapes r:id="rId1"/>
</c:chartSpace>
</file>

<file path=xl/charts/chart12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a:t>
            </a:r>
            <a:endParaRPr lang="en-CA"/>
          </a:p>
          <a:p>
            <a:pPr>
              <a:defRPr/>
            </a:pPr>
            <a:r>
              <a:rPr lang="en-US" sz="1800" b="1" i="0" baseline="0"/>
              <a:t>PERCENTAGE INCREASE FROM 2005-06 TO </a:t>
            </a:r>
            <a:endParaRPr lang="en-CA"/>
          </a:p>
          <a:p>
            <a:pPr>
              <a:defRPr/>
            </a:pPr>
            <a:r>
              <a:rPr lang="en-US" sz="1800" b="1" i="0" baseline="0"/>
              <a:t>2009-10, 2010-11 AND 2011-12</a:t>
            </a:r>
            <a:endParaRPr lang="en-CA"/>
          </a:p>
          <a:p>
            <a:pPr>
              <a:defRPr/>
            </a:pPr>
            <a:r>
              <a:rPr lang="en-US" sz="1800" b="1" i="0" baseline="0"/>
              <a:t>NEW BRUNSWICK</a:t>
            </a:r>
            <a:endParaRPr lang="en-CA"/>
          </a:p>
        </c:rich>
      </c:tx>
    </c:title>
    <c:plotArea>
      <c:layout>
        <c:manualLayout>
          <c:layoutTarget val="inner"/>
          <c:xMode val="edge"/>
          <c:yMode val="edge"/>
          <c:x val="5.2825747783107557E-2"/>
          <c:y val="0.23809139489409401"/>
          <c:w val="0.93545662309000344"/>
          <c:h val="0.69696868114863542"/>
        </c:manualLayout>
      </c:layout>
      <c:barChart>
        <c:barDir val="col"/>
        <c:grouping val="clustered"/>
        <c:ser>
          <c:idx val="0"/>
          <c:order val="0"/>
          <c:tx>
            <c:strRef>
              <c:f>NB!$E$265</c:f>
              <c:strCache>
                <c:ptCount val="1"/>
                <c:pt idx="0">
                  <c:v>2009-10</c:v>
                </c:pt>
              </c:strCache>
            </c:strRef>
          </c:tx>
          <c:dLbls>
            <c:dLbl>
              <c:idx val="0"/>
              <c:layout>
                <c:manualLayout>
                  <c:x val="0"/>
                  <c:y val="4.0353612029570924E-3"/>
                </c:manualLayout>
              </c:layout>
              <c:showVal val="1"/>
            </c:dLbl>
            <c:txPr>
              <a:bodyPr/>
              <a:lstStyle/>
              <a:p>
                <a:pPr>
                  <a:defRPr sz="1400" b="1"/>
                </a:pPr>
                <a:endParaRPr lang="en-US"/>
              </a:p>
            </c:txPr>
            <c:showVal val="1"/>
          </c:dLbls>
          <c:cat>
            <c:strRef>
              <c:f>NB!$A$266:$A$268</c:f>
              <c:strCache>
                <c:ptCount val="3"/>
                <c:pt idx="0">
                  <c:v>Income Assistance for the Disabled (IAD) &amp; FN SA </c:v>
                </c:pt>
                <c:pt idx="1">
                  <c:v>Total Income Support for the Disabled</c:v>
                </c:pt>
                <c:pt idx="2">
                  <c:v>Total Income Support for the Disabled excl. IAD &amp; FN SA</c:v>
                </c:pt>
              </c:strCache>
            </c:strRef>
          </c:cat>
          <c:val>
            <c:numRef>
              <c:f>NB!$E$266:$E$268</c:f>
              <c:numCache>
                <c:formatCode>0.0%</c:formatCode>
                <c:ptCount val="3"/>
                <c:pt idx="0">
                  <c:v>0.13342989046800044</c:v>
                </c:pt>
                <c:pt idx="1">
                  <c:v>0.19706365642835602</c:v>
                </c:pt>
                <c:pt idx="2">
                  <c:v>0.20472103004291833</c:v>
                </c:pt>
              </c:numCache>
            </c:numRef>
          </c:val>
        </c:ser>
        <c:ser>
          <c:idx val="1"/>
          <c:order val="1"/>
          <c:tx>
            <c:strRef>
              <c:f>NB!$G$265</c:f>
              <c:strCache>
                <c:ptCount val="1"/>
                <c:pt idx="0">
                  <c:v>2010-11</c:v>
                </c:pt>
              </c:strCache>
            </c:strRef>
          </c:tx>
          <c:dLbls>
            <c:dLbl>
              <c:idx val="0"/>
              <c:layout>
                <c:manualLayout>
                  <c:x val="0"/>
                  <c:y val="-6.0530418044355931E-3"/>
                </c:manualLayout>
              </c:layout>
              <c:showVal val="1"/>
            </c:dLbl>
            <c:txPr>
              <a:bodyPr/>
              <a:lstStyle/>
              <a:p>
                <a:pPr>
                  <a:defRPr sz="1400" b="1"/>
                </a:pPr>
                <a:endParaRPr lang="en-US"/>
              </a:p>
            </c:txPr>
            <c:showVal val="1"/>
          </c:dLbls>
          <c:cat>
            <c:strRef>
              <c:f>NB!$A$266:$A$268</c:f>
              <c:strCache>
                <c:ptCount val="3"/>
                <c:pt idx="0">
                  <c:v>Income Assistance for the Disabled (IAD) &amp; FN SA </c:v>
                </c:pt>
                <c:pt idx="1">
                  <c:v>Total Income Support for the Disabled</c:v>
                </c:pt>
                <c:pt idx="2">
                  <c:v>Total Income Support for the Disabled excl. IAD &amp; FN SA</c:v>
                </c:pt>
              </c:strCache>
            </c:strRef>
          </c:cat>
          <c:val>
            <c:numRef>
              <c:f>NB!$G$266:$G$268</c:f>
              <c:numCache>
                <c:formatCode>0.0%</c:formatCode>
                <c:ptCount val="3"/>
                <c:pt idx="0">
                  <c:v>0.14173259708518141</c:v>
                </c:pt>
                <c:pt idx="1">
                  <c:v>0.2547567793561436</c:v>
                </c:pt>
                <c:pt idx="2">
                  <c:v>0.26835755212304774</c:v>
                </c:pt>
              </c:numCache>
            </c:numRef>
          </c:val>
        </c:ser>
        <c:ser>
          <c:idx val="2"/>
          <c:order val="2"/>
          <c:tx>
            <c:strRef>
              <c:f>NB!$I$265</c:f>
              <c:strCache>
                <c:ptCount val="1"/>
                <c:pt idx="0">
                  <c:v>2011-12</c:v>
                </c:pt>
              </c:strCache>
            </c:strRef>
          </c:tx>
          <c:dLbls>
            <c:dLbl>
              <c:idx val="0"/>
              <c:layout>
                <c:manualLayout>
                  <c:x val="0"/>
                  <c:y val="0"/>
                </c:manualLayout>
              </c:layout>
              <c:showVal val="1"/>
            </c:dLbl>
            <c:dLbl>
              <c:idx val="1"/>
              <c:layout>
                <c:manualLayout>
                  <c:x val="0"/>
                  <c:y val="-4.0353612029570881E-3"/>
                </c:manualLayout>
              </c:layout>
              <c:showVal val="1"/>
            </c:dLbl>
            <c:txPr>
              <a:bodyPr/>
              <a:lstStyle/>
              <a:p>
                <a:pPr>
                  <a:defRPr sz="1400" b="1"/>
                </a:pPr>
                <a:endParaRPr lang="en-US"/>
              </a:p>
            </c:txPr>
            <c:showVal val="1"/>
          </c:dLbls>
          <c:cat>
            <c:strRef>
              <c:f>NB!$A$266:$A$268</c:f>
              <c:strCache>
                <c:ptCount val="3"/>
                <c:pt idx="0">
                  <c:v>Income Assistance for the Disabled (IAD) &amp; FN SA </c:v>
                </c:pt>
                <c:pt idx="1">
                  <c:v>Total Income Support for the Disabled</c:v>
                </c:pt>
                <c:pt idx="2">
                  <c:v>Total Income Support for the Disabled excl. IAD &amp; FN SA</c:v>
                </c:pt>
              </c:strCache>
            </c:strRef>
          </c:cat>
          <c:val>
            <c:numRef>
              <c:f>NB!$I$266:$I$268</c:f>
              <c:numCache>
                <c:formatCode>0.0%</c:formatCode>
                <c:ptCount val="3"/>
                <c:pt idx="0">
                  <c:v>0.14948854892731053</c:v>
                </c:pt>
                <c:pt idx="1">
                  <c:v>0.29117078435376109</c:v>
                </c:pt>
                <c:pt idx="2">
                  <c:v>0.30822012592318232</c:v>
                </c:pt>
              </c:numCache>
            </c:numRef>
          </c:val>
        </c:ser>
        <c:dLbls/>
        <c:gapWidth val="75"/>
        <c:axId val="87764992"/>
        <c:axId val="87766528"/>
      </c:barChart>
      <c:catAx>
        <c:axId val="87764992"/>
        <c:scaling>
          <c:orientation val="minMax"/>
        </c:scaling>
        <c:delete val="1"/>
        <c:axPos val="b"/>
        <c:majorTickMark val="none"/>
        <c:tickLblPos val="none"/>
        <c:crossAx val="87766528"/>
        <c:crosses val="autoZero"/>
        <c:auto val="1"/>
        <c:lblAlgn val="ctr"/>
        <c:lblOffset val="100"/>
      </c:catAx>
      <c:valAx>
        <c:axId val="87766528"/>
        <c:scaling>
          <c:orientation val="minMax"/>
        </c:scaling>
        <c:axPos val="l"/>
        <c:majorGridlines/>
        <c:numFmt formatCode="0%" sourceLinked="0"/>
        <c:majorTickMark val="none"/>
        <c:tickLblPos val="nextTo"/>
        <c:crossAx val="87764992"/>
        <c:crosses val="autoZero"/>
        <c:crossBetween val="between"/>
      </c:valAx>
    </c:plotArea>
    <c:legend>
      <c:legendPos val="b"/>
      <c:layout>
        <c:manualLayout>
          <c:xMode val="edge"/>
          <c:yMode val="edge"/>
          <c:x val="0.32714720940510428"/>
          <c:y val="0.94652431479884513"/>
          <c:w val="0.35302909939409965"/>
          <c:h val="4.1369601592283624E-2"/>
        </c:manualLayout>
      </c:layout>
      <c:txPr>
        <a:bodyPr/>
        <a:lstStyle/>
        <a:p>
          <a:pPr>
            <a:defRPr sz="1200" b="1"/>
          </a:pPr>
          <a:endParaRPr lang="en-US"/>
        </a:p>
      </c:txPr>
    </c:legend>
    <c:plotVisOnly val="1"/>
    <c:dispBlanksAs val="gap"/>
  </c:chart>
  <c:userShapes r:id="rId1"/>
</c:chartSpace>
</file>

<file path=xl/charts/chart12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a:t>
            </a:r>
          </a:p>
          <a:p>
            <a:pPr>
              <a:defRPr lang="en-US"/>
            </a:pPr>
            <a:r>
              <a:rPr lang="en-US" sz="1800" b="1" i="0" baseline="0"/>
              <a:t>2009-10 AND 2010-11</a:t>
            </a:r>
          </a:p>
          <a:p>
            <a:pPr>
              <a:defRPr lang="en-US"/>
            </a:pPr>
            <a:r>
              <a:rPr lang="en-US" sz="1800" b="1" i="0" baseline="0"/>
              <a:t>NEW BRUNSWICK</a:t>
            </a:r>
            <a:endParaRPr lang="en-US"/>
          </a:p>
        </c:rich>
      </c:tx>
    </c:title>
    <c:plotArea>
      <c:layout/>
      <c:barChart>
        <c:barDir val="col"/>
        <c:grouping val="clustered"/>
        <c:ser>
          <c:idx val="0"/>
          <c:order val="0"/>
          <c:tx>
            <c:strRef>
              <c:f>NB!$E$265</c:f>
              <c:strCache>
                <c:ptCount val="1"/>
                <c:pt idx="0">
                  <c:v>2009-10</c:v>
                </c:pt>
              </c:strCache>
            </c:strRef>
          </c:tx>
          <c:dLbls>
            <c:txPr>
              <a:bodyPr/>
              <a:lstStyle/>
              <a:p>
                <a:pPr>
                  <a:defRPr lang="en-US" sz="1400" b="1" i="0" baseline="0"/>
                </a:pPr>
                <a:endParaRPr lang="en-US"/>
              </a:p>
            </c:txPr>
            <c:showVal val="1"/>
          </c:dLbls>
          <c:cat>
            <c:strRef>
              <c:f>NB!$A$266:$A$268</c:f>
              <c:strCache>
                <c:ptCount val="3"/>
                <c:pt idx="0">
                  <c:v>Income Assistance for the Disabled (IAD) &amp; FN SA </c:v>
                </c:pt>
                <c:pt idx="1">
                  <c:v>Total Income Support for the Disabled</c:v>
                </c:pt>
                <c:pt idx="2">
                  <c:v>Total Income Support for the Disabled excl. IAD &amp; FN SA</c:v>
                </c:pt>
              </c:strCache>
            </c:strRef>
          </c:cat>
          <c:val>
            <c:numRef>
              <c:f>NB!$E$266:$E$268</c:f>
              <c:numCache>
                <c:formatCode>0.0%</c:formatCode>
                <c:ptCount val="3"/>
                <c:pt idx="0">
                  <c:v>0.13342989046800044</c:v>
                </c:pt>
                <c:pt idx="1">
                  <c:v>0.19706365642835602</c:v>
                </c:pt>
                <c:pt idx="2">
                  <c:v>0.20472103004291833</c:v>
                </c:pt>
              </c:numCache>
            </c:numRef>
          </c:val>
        </c:ser>
        <c:ser>
          <c:idx val="1"/>
          <c:order val="1"/>
          <c:tx>
            <c:strRef>
              <c:f>NB!$G$265</c:f>
              <c:strCache>
                <c:ptCount val="1"/>
                <c:pt idx="0">
                  <c:v>2010-11</c:v>
                </c:pt>
              </c:strCache>
            </c:strRef>
          </c:tx>
          <c:spPr>
            <a:solidFill>
              <a:schemeClr val="accent3"/>
            </a:solidFill>
          </c:spPr>
          <c:dLbls>
            <c:dLbl>
              <c:idx val="0"/>
              <c:layout>
                <c:manualLayout>
                  <c:x val="-2.683196156318872E-17"/>
                  <c:y val="-6.0471563921617524E-3"/>
                </c:manualLayout>
              </c:layout>
              <c:showVal val="1"/>
            </c:dLbl>
            <c:dLbl>
              <c:idx val="2"/>
              <c:layout>
                <c:manualLayout>
                  <c:x val="0"/>
                  <c:y val="-4.0314375947745878E-3"/>
                </c:manualLayout>
              </c:layout>
              <c:showVal val="1"/>
            </c:dLbl>
            <c:txPr>
              <a:bodyPr/>
              <a:lstStyle/>
              <a:p>
                <a:pPr>
                  <a:defRPr lang="en-US" sz="1400" b="1" i="0" baseline="0"/>
                </a:pPr>
                <a:endParaRPr lang="en-US"/>
              </a:p>
            </c:txPr>
            <c:showVal val="1"/>
          </c:dLbls>
          <c:cat>
            <c:strRef>
              <c:f>NB!$A$266:$A$268</c:f>
              <c:strCache>
                <c:ptCount val="3"/>
                <c:pt idx="0">
                  <c:v>Income Assistance for the Disabled (IAD) &amp; FN SA </c:v>
                </c:pt>
                <c:pt idx="1">
                  <c:v>Total Income Support for the Disabled</c:v>
                </c:pt>
                <c:pt idx="2">
                  <c:v>Total Income Support for the Disabled excl. IAD &amp; FN SA</c:v>
                </c:pt>
              </c:strCache>
            </c:strRef>
          </c:cat>
          <c:val>
            <c:numRef>
              <c:f>NB!$G$266:$G$268</c:f>
              <c:numCache>
                <c:formatCode>0.0%</c:formatCode>
                <c:ptCount val="3"/>
                <c:pt idx="0">
                  <c:v>0.14173259708518141</c:v>
                </c:pt>
                <c:pt idx="1">
                  <c:v>0.2547567793561436</c:v>
                </c:pt>
                <c:pt idx="2">
                  <c:v>0.26835755212304774</c:v>
                </c:pt>
              </c:numCache>
            </c:numRef>
          </c:val>
        </c:ser>
        <c:dLbls/>
        <c:gapWidth val="75"/>
        <c:axId val="87919616"/>
        <c:axId val="87925504"/>
      </c:barChart>
      <c:catAx>
        <c:axId val="87919616"/>
        <c:scaling>
          <c:orientation val="minMax"/>
        </c:scaling>
        <c:delete val="1"/>
        <c:axPos val="b"/>
        <c:majorTickMark val="none"/>
        <c:tickLblPos val="none"/>
        <c:crossAx val="87925504"/>
        <c:crosses val="autoZero"/>
        <c:auto val="1"/>
        <c:lblAlgn val="ctr"/>
        <c:lblOffset val="100"/>
      </c:catAx>
      <c:valAx>
        <c:axId val="87925504"/>
        <c:scaling>
          <c:orientation val="minMax"/>
        </c:scaling>
        <c:axPos val="l"/>
        <c:majorGridlines/>
        <c:numFmt formatCode="0%" sourceLinked="0"/>
        <c:majorTickMark val="none"/>
        <c:tickLblPos val="nextTo"/>
        <c:txPr>
          <a:bodyPr/>
          <a:lstStyle/>
          <a:p>
            <a:pPr>
              <a:defRPr lang="en-US"/>
            </a:pPr>
            <a:endParaRPr lang="en-US"/>
          </a:p>
        </c:txPr>
        <c:crossAx val="87919616"/>
        <c:crosses val="autoZero"/>
        <c:crossBetween val="between"/>
      </c:valAx>
    </c:plotArea>
    <c:legend>
      <c:legendPos val="b"/>
      <c:layout>
        <c:manualLayout>
          <c:xMode val="edge"/>
          <c:yMode val="edge"/>
          <c:x val="0.32190716487338294"/>
          <c:y val="0.9417074757137629"/>
          <c:w val="0.39423870987519088"/>
          <c:h val="4.6198211501913833E-2"/>
        </c:manualLayout>
      </c:layout>
      <c:txPr>
        <a:bodyPr/>
        <a:lstStyle/>
        <a:p>
          <a:pPr>
            <a:defRPr lang="en-US" sz="1400" b="1" i="0" baseline="0"/>
          </a:pPr>
          <a:endParaRPr lang="en-US"/>
        </a:p>
      </c:txPr>
    </c:legend>
    <c:plotVisOnly val="1"/>
    <c:dispBlanksAs val="gap"/>
  </c:chart>
  <c:userShapes r:id="rId1"/>
</c:chartSpace>
</file>

<file path=xl/charts/chart1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2010-11</a:t>
            </a:r>
            <a:endParaRPr lang="en-US"/>
          </a:p>
          <a:p>
            <a:pPr>
              <a:defRPr lang="en-US"/>
            </a:pPr>
            <a:r>
              <a:rPr lang="en-US" sz="1800" b="1" i="0" baseline="0"/>
              <a:t>CANADA</a:t>
            </a:r>
            <a:endParaRPr lang="en-US"/>
          </a:p>
        </c:rich>
      </c:tx>
      <c:layout/>
    </c:title>
    <c:plotArea>
      <c:layout>
        <c:manualLayout>
          <c:layoutTarget val="inner"/>
          <c:xMode val="edge"/>
          <c:yMode val="edge"/>
          <c:x val="6.5364681109306128E-2"/>
          <c:y val="0.20172821698403393"/>
          <c:w val="0.92439026976170857"/>
          <c:h val="0.73366466248138806"/>
        </c:manualLayout>
      </c:layout>
      <c:barChart>
        <c:barDir val="col"/>
        <c:grouping val="clustered"/>
        <c:ser>
          <c:idx val="2"/>
          <c:order val="0"/>
          <c:tx>
            <c:strRef>
              <c:f>'CANADA TABLE TO 13-14'!$D$90</c:f>
              <c:strCache>
                <c:ptCount val="1"/>
                <c:pt idx="0">
                  <c:v>% change 05-06 to 10-11</c:v>
                </c:pt>
              </c:strCache>
            </c:strRef>
          </c:tx>
          <c:dLbls>
            <c:txPr>
              <a:bodyPr/>
              <a:lstStyle/>
              <a:p>
                <a:pPr>
                  <a:defRPr lang="en-US" sz="1400" b="1" i="0" baseline="0"/>
                </a:pPr>
                <a:endParaRPr lang="en-US"/>
              </a:p>
            </c:txPr>
            <c:showVal val="1"/>
          </c:dLbls>
          <c:cat>
            <c:strRef>
              <c:f>'CANADA TABLE TO 13-14'!$A$91:$A$93</c:f>
              <c:strCache>
                <c:ptCount val="3"/>
                <c:pt idx="0">
                  <c:v>Social Assistance - Disabled component *</c:v>
                </c:pt>
                <c:pt idx="1">
                  <c:v>Total income support for the disabled</c:v>
                </c:pt>
                <c:pt idx="2">
                  <c:v>Total income support for the disabled excluding SA</c:v>
                </c:pt>
              </c:strCache>
            </c:strRef>
          </c:cat>
          <c:val>
            <c:numRef>
              <c:f>'CANADA TABLE TO 13-14'!$D$91:$D$93</c:f>
              <c:numCache>
                <c:formatCode>0.0%</c:formatCode>
                <c:ptCount val="3"/>
                <c:pt idx="0">
                  <c:v>0.30212127664755428</c:v>
                </c:pt>
                <c:pt idx="1">
                  <c:v>0.23185221880151852</c:v>
                </c:pt>
                <c:pt idx="2">
                  <c:v>0.20764221435676772</c:v>
                </c:pt>
              </c:numCache>
            </c:numRef>
          </c:val>
        </c:ser>
        <c:dLbls/>
        <c:gapWidth val="50"/>
        <c:axId val="48668672"/>
        <c:axId val="48670208"/>
      </c:barChart>
      <c:catAx>
        <c:axId val="48668672"/>
        <c:scaling>
          <c:orientation val="minMax"/>
        </c:scaling>
        <c:delete val="1"/>
        <c:axPos val="b"/>
        <c:tickLblPos val="none"/>
        <c:crossAx val="48670208"/>
        <c:crosses val="autoZero"/>
        <c:auto val="1"/>
        <c:lblAlgn val="ctr"/>
        <c:lblOffset val="100"/>
      </c:catAx>
      <c:valAx>
        <c:axId val="48670208"/>
        <c:scaling>
          <c:orientation val="minMax"/>
        </c:scaling>
        <c:axPos val="l"/>
        <c:majorGridlines/>
        <c:numFmt formatCode="0%" sourceLinked="0"/>
        <c:tickLblPos val="nextTo"/>
        <c:txPr>
          <a:bodyPr/>
          <a:lstStyle/>
          <a:p>
            <a:pPr>
              <a:defRPr lang="en-US"/>
            </a:pPr>
            <a:endParaRPr lang="en-US"/>
          </a:p>
        </c:txPr>
        <c:crossAx val="48668672"/>
        <c:crosses val="autoZero"/>
        <c:crossBetween val="between"/>
      </c:valAx>
    </c:plotArea>
    <c:plotVisOnly val="1"/>
    <c:dispBlanksAs val="gap"/>
  </c:chart>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PERSONS WITH DISABILITIES:</a:t>
            </a:r>
            <a:endParaRPr lang="en-US"/>
          </a:p>
          <a:p>
            <a:pPr>
              <a:defRPr lang="en-US"/>
            </a:pPr>
            <a:r>
              <a:rPr lang="en-US" sz="1800" b="1" i="0" baseline="0"/>
              <a:t>PERCENTAGE CHANGE FROM 2005 TO 2013</a:t>
            </a:r>
            <a:endParaRPr lang="en-US"/>
          </a:p>
          <a:p>
            <a:pPr>
              <a:defRPr lang="en-US"/>
            </a:pPr>
            <a:r>
              <a:rPr lang="en-US" sz="1800" b="1" i="0" baseline="0"/>
              <a:t>NEW BRUNSWICK</a:t>
            </a:r>
            <a:endParaRPr lang="en-US"/>
          </a:p>
        </c:rich>
      </c:tx>
    </c:title>
    <c:plotArea>
      <c:layout>
        <c:manualLayout>
          <c:layoutTarget val="inner"/>
          <c:xMode val="edge"/>
          <c:yMode val="edge"/>
          <c:x val="6.4493794312142402E-2"/>
          <c:y val="0.17542308667813042"/>
          <c:w val="0.93550620568785758"/>
          <c:h val="0.75149377460328504"/>
        </c:manualLayout>
      </c:layout>
      <c:barChart>
        <c:barDir val="col"/>
        <c:grouping val="clustered"/>
        <c:ser>
          <c:idx val="5"/>
          <c:order val="0"/>
          <c:spPr>
            <a:solidFill>
              <a:schemeClr val="accent6"/>
            </a:solidFill>
          </c:spPr>
          <c:dLbls>
            <c:dLbl>
              <c:idx val="0"/>
              <c:layout>
                <c:manualLayout>
                  <c:x val="0"/>
                  <c:y val="-6.0471563921617524E-3"/>
                </c:manualLayout>
              </c:layout>
              <c:showVal val="1"/>
            </c:dLbl>
            <c:dLbl>
              <c:idx val="2"/>
              <c:layout>
                <c:manualLayout>
                  <c:x val="0"/>
                  <c:y val="-6.0471563921617923E-3"/>
                </c:manualLayout>
              </c:layout>
              <c:showVal val="1"/>
            </c:dLbl>
            <c:txPr>
              <a:bodyPr/>
              <a:lstStyle/>
              <a:p>
                <a:pPr>
                  <a:defRPr lang="en-US" sz="1400" b="1" i="0" baseline="0"/>
                </a:pPr>
                <a:endParaRPr lang="en-US"/>
              </a:p>
            </c:txPr>
            <c:showVal val="1"/>
          </c:dLbls>
          <c:cat>
            <c:strRef>
              <c:f>NB!$A$266:$A$268</c:f>
              <c:strCache>
                <c:ptCount val="3"/>
                <c:pt idx="0">
                  <c:v>Income Assistance for the Disabled (IAD) &amp; FN SA </c:v>
                </c:pt>
                <c:pt idx="1">
                  <c:v>Total Income Support for the Disabled</c:v>
                </c:pt>
                <c:pt idx="2">
                  <c:v>Total Income Support for the Disabled excl. IAD &amp; FN SA</c:v>
                </c:pt>
              </c:strCache>
            </c:strRef>
          </c:cat>
          <c:val>
            <c:numRef>
              <c:f>NB!$G$266:$G$268</c:f>
              <c:numCache>
                <c:formatCode>0.0%</c:formatCode>
                <c:ptCount val="3"/>
                <c:pt idx="0">
                  <c:v>0.14173259708518141</c:v>
                </c:pt>
                <c:pt idx="1">
                  <c:v>0.2547567793561436</c:v>
                </c:pt>
                <c:pt idx="2">
                  <c:v>0.26835755212304774</c:v>
                </c:pt>
              </c:numCache>
            </c:numRef>
          </c:val>
        </c:ser>
        <c:dLbls/>
        <c:gapWidth val="50"/>
        <c:axId val="88114304"/>
        <c:axId val="88115840"/>
      </c:barChart>
      <c:catAx>
        <c:axId val="88114304"/>
        <c:scaling>
          <c:orientation val="minMax"/>
        </c:scaling>
        <c:delete val="1"/>
        <c:axPos val="b"/>
        <c:majorTickMark val="none"/>
        <c:tickLblPos val="none"/>
        <c:crossAx val="88115840"/>
        <c:crosses val="autoZero"/>
        <c:auto val="1"/>
        <c:lblAlgn val="ctr"/>
        <c:lblOffset val="100"/>
      </c:catAx>
      <c:valAx>
        <c:axId val="88115840"/>
        <c:scaling>
          <c:orientation val="minMax"/>
        </c:scaling>
        <c:axPos val="l"/>
        <c:majorGridlines/>
        <c:numFmt formatCode="0%" sourceLinked="0"/>
        <c:majorTickMark val="none"/>
        <c:tickLblPos val="nextTo"/>
        <c:txPr>
          <a:bodyPr/>
          <a:lstStyle/>
          <a:p>
            <a:pPr>
              <a:defRPr lang="en-US"/>
            </a:pPr>
            <a:endParaRPr lang="en-US"/>
          </a:p>
        </c:txPr>
        <c:crossAx val="88114304"/>
        <c:crosses val="autoZero"/>
        <c:crossBetween val="between"/>
      </c:valAx>
    </c:plotArea>
    <c:plotVisOnly val="1"/>
    <c:dispBlanksAs val="gap"/>
  </c:chart>
  <c:userShapes r:id="rId1"/>
</c:chartSpace>
</file>

<file path=xl/charts/chart13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2009-10</a:t>
            </a:r>
          </a:p>
          <a:p>
            <a:pPr>
              <a:defRPr lang="en-US"/>
            </a:pPr>
            <a:r>
              <a:rPr lang="en-US" sz="1800" b="1" i="0" baseline="0"/>
              <a:t>NEW BRUNSWICK</a:t>
            </a:r>
            <a:endParaRPr lang="en-US"/>
          </a:p>
        </c:rich>
      </c:tx>
    </c:title>
    <c:plotArea>
      <c:layout>
        <c:manualLayout>
          <c:layoutTarget val="inner"/>
          <c:xMode val="edge"/>
          <c:yMode val="edge"/>
          <c:x val="5.2785166736157796E-2"/>
          <c:y val="0.17542308667813158"/>
          <c:w val="0.93550620568785758"/>
          <c:h val="0.80421307449176116"/>
        </c:manualLayout>
      </c:layout>
      <c:barChart>
        <c:barDir val="col"/>
        <c:grouping val="clustered"/>
        <c:ser>
          <c:idx val="3"/>
          <c:order val="0"/>
          <c:spPr>
            <a:solidFill>
              <a:srgbClr val="4F81BD"/>
            </a:solidFill>
          </c:spPr>
          <c:dLbls>
            <c:dLbl>
              <c:idx val="0"/>
              <c:showVal val="1"/>
            </c:dLbl>
            <c:dLbl>
              <c:idx val="1"/>
              <c:showVal val="1"/>
            </c:dLbl>
            <c:dLbl>
              <c:idx val="2"/>
              <c:showVal val="1"/>
            </c:dLbl>
            <c:delete val="1"/>
            <c:txPr>
              <a:bodyPr/>
              <a:lstStyle/>
              <a:p>
                <a:pPr>
                  <a:defRPr sz="1400" b="1"/>
                </a:pPr>
                <a:endParaRPr lang="en-US"/>
              </a:p>
            </c:txPr>
          </c:dLbls>
          <c:cat>
            <c:strRef>
              <c:f>NB!$A$266:$A$268</c:f>
              <c:strCache>
                <c:ptCount val="3"/>
                <c:pt idx="0">
                  <c:v>Income Assistance for the Disabled (IAD) &amp; FN SA </c:v>
                </c:pt>
                <c:pt idx="1">
                  <c:v>Total Income Support for the Disabled</c:v>
                </c:pt>
                <c:pt idx="2">
                  <c:v>Total Income Support for the Disabled excl. IAD &amp; FN SA</c:v>
                </c:pt>
              </c:strCache>
            </c:strRef>
          </c:cat>
          <c:val>
            <c:numRef>
              <c:f>NB!$E$266:$E$268</c:f>
              <c:numCache>
                <c:formatCode>0.0%</c:formatCode>
                <c:ptCount val="3"/>
                <c:pt idx="0">
                  <c:v>0.13342989046800044</c:v>
                </c:pt>
                <c:pt idx="1">
                  <c:v>0.19706365642835602</c:v>
                </c:pt>
                <c:pt idx="2">
                  <c:v>0.20472103004291833</c:v>
                </c:pt>
              </c:numCache>
            </c:numRef>
          </c:val>
        </c:ser>
        <c:dLbls/>
        <c:gapWidth val="50"/>
        <c:axId val="88140416"/>
        <c:axId val="85254528"/>
      </c:barChart>
      <c:catAx>
        <c:axId val="88140416"/>
        <c:scaling>
          <c:orientation val="minMax"/>
        </c:scaling>
        <c:delete val="1"/>
        <c:axPos val="b"/>
        <c:majorTickMark val="none"/>
        <c:tickLblPos val="none"/>
        <c:crossAx val="85254528"/>
        <c:crosses val="autoZero"/>
        <c:auto val="1"/>
        <c:lblAlgn val="ctr"/>
        <c:lblOffset val="100"/>
      </c:catAx>
      <c:valAx>
        <c:axId val="85254528"/>
        <c:scaling>
          <c:orientation val="minMax"/>
        </c:scaling>
        <c:axPos val="l"/>
        <c:majorGridlines/>
        <c:numFmt formatCode="0%" sourceLinked="0"/>
        <c:majorTickMark val="none"/>
        <c:tickLblPos val="nextTo"/>
        <c:txPr>
          <a:bodyPr/>
          <a:lstStyle/>
          <a:p>
            <a:pPr>
              <a:defRPr lang="en-US"/>
            </a:pPr>
            <a:endParaRPr lang="en-US"/>
          </a:p>
        </c:txPr>
        <c:crossAx val="88140416"/>
        <c:crosses val="autoZero"/>
        <c:crossBetween val="between"/>
      </c:valAx>
    </c:plotArea>
    <c:plotVisOnly val="1"/>
    <c:dispBlanksAs val="gap"/>
  </c:chart>
  <c:userShapes r:id="rId1"/>
</c:chartSpace>
</file>

<file path=xl/charts/chart13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a:t>
            </a:r>
            <a:endParaRPr lang="en-CA" sz="1800" b="1" i="0" baseline="0"/>
          </a:p>
          <a:p>
            <a:pPr>
              <a:defRPr/>
            </a:pPr>
            <a:r>
              <a:rPr lang="en-US" sz="1800" b="1" i="0" baseline="0"/>
              <a:t>ESTIMATED EXPENDITURES BY PROGRAM FOR QUEBEC</a:t>
            </a:r>
            <a:endParaRPr lang="en-CA" sz="1800" b="1" i="0" baseline="0"/>
          </a:p>
          <a:p>
            <a:pPr>
              <a:defRPr/>
            </a:pPr>
            <a:r>
              <a:rPr lang="en-US" sz="1800" b="1" i="0" baseline="0"/>
              <a:t>2005 AND 2013 </a:t>
            </a:r>
            <a:endParaRPr lang="en-CA" sz="1800" b="1" i="0" baseline="0"/>
          </a:p>
          <a:p>
            <a:pPr>
              <a:defRPr/>
            </a:pPr>
            <a:r>
              <a:rPr lang="en-US" sz="1800" b="1" i="0" baseline="0"/>
              <a:t>($M)</a:t>
            </a:r>
            <a:endParaRPr lang="en-CA"/>
          </a:p>
          <a:p>
            <a:pPr>
              <a:defRPr/>
            </a:pPr>
            <a:endParaRPr lang="en-CA"/>
          </a:p>
        </c:rich>
      </c:tx>
    </c:title>
    <c:plotArea>
      <c:layout/>
      <c:barChart>
        <c:barDir val="col"/>
        <c:grouping val="clustered"/>
        <c:ser>
          <c:idx val="0"/>
          <c:order val="0"/>
          <c:tx>
            <c:strRef>
              <c:f>QUE!$B$264</c:f>
              <c:strCache>
                <c:ptCount val="1"/>
                <c:pt idx="0">
                  <c:v>2005-06</c:v>
                </c:pt>
              </c:strCache>
            </c:strRef>
          </c:tx>
          <c:cat>
            <c:strRef>
              <c:f>(QUE!$A$265,QUE!$A$267:$A$271,QUE!$A$273:$A$274)</c:f>
              <c:strCache>
                <c:ptCount val="8"/>
                <c:pt idx="0">
                  <c:v>Disability Tax Measures</c:v>
                </c:pt>
                <c:pt idx="1">
                  <c:v>QPP-D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(QUE!$B$265,QUE!$B$267:$B$271,QUE!$B$273:$B$274)</c:f>
              <c:numCache>
                <c:formatCode>#,##0.0</c:formatCode>
                <c:ptCount val="8"/>
                <c:pt idx="0">
                  <c:v>401.84999999999997</c:v>
                </c:pt>
                <c:pt idx="1">
                  <c:v>652.79999999999995</c:v>
                </c:pt>
                <c:pt idx="2">
                  <c:v>244.9</c:v>
                </c:pt>
                <c:pt idx="3">
                  <c:v>203.68799999999999</c:v>
                </c:pt>
                <c:pt idx="4">
                  <c:v>1180.2560000000001</c:v>
                </c:pt>
                <c:pt idx="5">
                  <c:v>29.315000000000001</c:v>
                </c:pt>
                <c:pt idx="6">
                  <c:v>1227.0999999999999</c:v>
                </c:pt>
                <c:pt idx="7">
                  <c:v>1072</c:v>
                </c:pt>
              </c:numCache>
            </c:numRef>
          </c:val>
        </c:ser>
        <c:ser>
          <c:idx val="1"/>
          <c:order val="1"/>
          <c:tx>
            <c:strRef>
              <c:f>QUE!$L$264</c:f>
              <c:strCache>
                <c:ptCount val="1"/>
                <c:pt idx="0">
                  <c:v>2013-14</c:v>
                </c:pt>
              </c:strCache>
            </c:strRef>
          </c:tx>
          <c:spPr>
            <a:solidFill>
              <a:srgbClr val="F79646"/>
            </a:solidFill>
          </c:spPr>
          <c:cat>
            <c:strRef>
              <c:f>(QUE!$A$265,QUE!$A$267:$A$271,QUE!$A$273:$A$274)</c:f>
              <c:strCache>
                <c:ptCount val="8"/>
                <c:pt idx="0">
                  <c:v>Disability Tax Measures</c:v>
                </c:pt>
                <c:pt idx="1">
                  <c:v>QPP-D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(QUE!$L$265,QUE!$L$267:$L$271,QUE!$L$273:$L$274)</c:f>
              <c:numCache>
                <c:formatCode>#,##0.0</c:formatCode>
                <c:ptCount val="8"/>
                <c:pt idx="0">
                  <c:v>585.01700000000005</c:v>
                </c:pt>
                <c:pt idx="1">
                  <c:v>764.8</c:v>
                </c:pt>
                <c:pt idx="2">
                  <c:v>362.4</c:v>
                </c:pt>
                <c:pt idx="3">
                  <c:v>263.10000000000002</c:v>
                </c:pt>
                <c:pt idx="4">
                  <c:v>1348.1091360066143</c:v>
                </c:pt>
                <c:pt idx="5">
                  <c:v>39.588999999999992</c:v>
                </c:pt>
                <c:pt idx="6">
                  <c:v>1410.6</c:v>
                </c:pt>
                <c:pt idx="7">
                  <c:v>1451</c:v>
                </c:pt>
              </c:numCache>
            </c:numRef>
          </c:val>
        </c:ser>
        <c:dLbls/>
        <c:axId val="85317120"/>
        <c:axId val="85318656"/>
      </c:barChart>
      <c:catAx>
        <c:axId val="85317120"/>
        <c:scaling>
          <c:orientation val="minMax"/>
        </c:scaling>
        <c:axPos val="b"/>
        <c:majorTickMark val="none"/>
        <c:tickLblPos val="nextTo"/>
        <c:txPr>
          <a:bodyPr/>
          <a:lstStyle/>
          <a:p>
            <a:pPr>
              <a:defRPr sz="1200" b="1"/>
            </a:pPr>
            <a:endParaRPr lang="en-US"/>
          </a:p>
        </c:txPr>
        <c:crossAx val="85318656"/>
        <c:crosses val="autoZero"/>
        <c:auto val="1"/>
        <c:lblAlgn val="ctr"/>
        <c:lblOffset val="100"/>
      </c:catAx>
      <c:valAx>
        <c:axId val="85318656"/>
        <c:scaling>
          <c:orientation val="minMax"/>
        </c:scaling>
        <c:axPos val="l"/>
        <c:majorGridlines/>
        <c:numFmt formatCode="&quot;$&quot;#,##0" sourceLinked="0"/>
        <c:majorTickMark val="none"/>
        <c:tickLblPos val="nextTo"/>
        <c:crossAx val="85317120"/>
        <c:crosses val="autoZero"/>
        <c:crossBetween val="between"/>
      </c:valAx>
    </c:plotArea>
    <c:legend>
      <c:legendPos val="b"/>
      <c:layout>
        <c:manualLayout>
          <c:xMode val="edge"/>
          <c:yMode val="edge"/>
          <c:x val="0.3227589803632836"/>
          <c:y val="0.94652431479884513"/>
          <c:w val="0.39695832952741061"/>
          <c:h val="4.1369601592283624E-2"/>
        </c:manualLayout>
      </c:layout>
      <c:txPr>
        <a:bodyPr/>
        <a:lstStyle/>
        <a:p>
          <a:pPr>
            <a:defRPr sz="1200" b="1"/>
          </a:pPr>
          <a:endParaRPr lang="en-US"/>
        </a:p>
      </c:txPr>
    </c:legend>
    <c:plotVisOnly val="1"/>
    <c:dispBlanksAs val="gap"/>
  </c:chart>
</c:chartSpace>
</file>

<file path=xl/charts/chart13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EXPENDITURES FOR PERSONS WITH DISABILITIES</a:t>
            </a:r>
            <a:endParaRPr lang="en-CA" sz="1800" b="1" i="0" baseline="0"/>
          </a:p>
          <a:p>
            <a:pPr>
              <a:defRPr/>
            </a:pPr>
            <a:r>
              <a:rPr lang="en-US" sz="1800" b="1" i="0" baseline="0"/>
              <a:t>QUEBEC 2013</a:t>
            </a:r>
            <a:endParaRPr lang="en-CA" sz="1800" b="1" i="0" baseline="0"/>
          </a:p>
          <a:p>
            <a:pPr>
              <a:defRPr/>
            </a:pPr>
            <a:r>
              <a:rPr lang="en-US" sz="1800" b="1" i="0" baseline="0"/>
              <a:t>$6.2 B</a:t>
            </a:r>
            <a:endParaRPr lang="en-CA"/>
          </a:p>
        </c:rich>
      </c:tx>
    </c:title>
    <c:plotArea>
      <c:layout/>
      <c:pieChart>
        <c:varyColors val="1"/>
        <c:ser>
          <c:idx val="10"/>
          <c:order val="0"/>
          <c:dLbls>
            <c:dLbl>
              <c:idx val="0"/>
              <c:layout>
                <c:manualLayout>
                  <c:x val="4.2642251556276503E-2"/>
                  <c:y val="1.0916923033905295E-2"/>
                </c:manualLayout>
              </c:layout>
              <c:tx>
                <c:rich>
                  <a:bodyPr/>
                  <a:lstStyle/>
                  <a:p>
                    <a:r>
                      <a:rPr lang="en-US" sz="1400"/>
                      <a:t>D</a:t>
                    </a:r>
                    <a:r>
                      <a:rPr lang="en-US"/>
                      <a:t>isability Tax Measures</a:t>
                    </a:r>
                  </a:p>
                  <a:p>
                    <a:r>
                      <a:rPr lang="en-US"/>
                      <a:t>$585 M</a:t>
                    </a:r>
                  </a:p>
                </c:rich>
              </c:tx>
              <c:showVal val="1"/>
              <c:showCatName val="1"/>
            </c:dLbl>
            <c:dLbl>
              <c:idx val="1"/>
              <c:layout>
                <c:manualLayout>
                  <c:x val="-0.10093532283913542"/>
                  <c:y val="9.6469122496407891E-2"/>
                </c:manualLayout>
              </c:layout>
              <c:tx>
                <c:rich>
                  <a:bodyPr/>
                  <a:lstStyle/>
                  <a:p>
                    <a:r>
                      <a:rPr lang="en-US" sz="1400"/>
                      <a:t>Q</a:t>
                    </a:r>
                    <a:r>
                      <a:rPr lang="en-US"/>
                      <a:t>PP-D</a:t>
                    </a:r>
                  </a:p>
                  <a:p>
                    <a:r>
                      <a:rPr lang="en-US"/>
                      <a:t>$765 M</a:t>
                    </a:r>
                  </a:p>
                </c:rich>
              </c:tx>
              <c:showVal val="1"/>
              <c:showCatName val="1"/>
            </c:dLbl>
            <c:dLbl>
              <c:idx val="2"/>
              <c:layout>
                <c:manualLayout>
                  <c:x val="6.0452701836161839E-2"/>
                  <c:y val="5.7586510836057031E-3"/>
                </c:manualLayout>
              </c:layout>
              <c:tx>
                <c:rich>
                  <a:bodyPr/>
                  <a:lstStyle/>
                  <a:p>
                    <a:r>
                      <a:rPr lang="en-US" sz="1400"/>
                      <a:t>E</a:t>
                    </a:r>
                    <a:r>
                      <a:rPr lang="en-US"/>
                      <a:t>I Sickness</a:t>
                    </a:r>
                  </a:p>
                  <a:p>
                    <a:r>
                      <a:rPr lang="en-US"/>
                      <a:t>$362</a:t>
                    </a:r>
                    <a:r>
                      <a:rPr lang="en-US" baseline="0"/>
                      <a:t> M</a:t>
                    </a:r>
                    <a:endParaRPr lang="en-US"/>
                  </a:p>
                </c:rich>
              </c:tx>
              <c:showVal val="1"/>
              <c:showCatName val="1"/>
            </c:dLbl>
            <c:dLbl>
              <c:idx val="3"/>
              <c:layout>
                <c:manualLayout>
                  <c:x val="3.9376885085118885E-2"/>
                  <c:y val="6.2387478560157701E-2"/>
                </c:manualLayout>
              </c:layout>
              <c:tx>
                <c:rich>
                  <a:bodyPr/>
                  <a:lstStyle/>
                  <a:p>
                    <a:r>
                      <a:rPr lang="en-US" sz="1400"/>
                      <a:t>V</a:t>
                    </a:r>
                    <a:r>
                      <a:rPr lang="en-US"/>
                      <a:t>eterans' Disability Pensions &amp; Awards</a:t>
                    </a:r>
                  </a:p>
                  <a:p>
                    <a:r>
                      <a:rPr lang="en-US"/>
                      <a:t>$263 M</a:t>
                    </a:r>
                  </a:p>
                </c:rich>
              </c:tx>
              <c:showVal val="1"/>
              <c:showCatName val="1"/>
            </c:dLbl>
            <c:dLbl>
              <c:idx val="4"/>
              <c:layout>
                <c:manualLayout>
                  <c:x val="-0.12823630306033126"/>
                  <c:y val="-0.18906159740567591"/>
                </c:manualLayout>
              </c:layout>
              <c:tx>
                <c:rich>
                  <a:bodyPr/>
                  <a:lstStyle/>
                  <a:p>
                    <a:r>
                      <a:rPr lang="en-US" sz="1400"/>
                      <a:t>I</a:t>
                    </a:r>
                    <a:r>
                      <a:rPr lang="en-US"/>
                      <a:t>ncome Asst. for  Persons with Disabilities</a:t>
                    </a:r>
                  </a:p>
                  <a:p>
                    <a:r>
                      <a:rPr lang="en-US"/>
                      <a:t>$1,348 M</a:t>
                    </a:r>
                  </a:p>
                </c:rich>
              </c:tx>
              <c:showVal val="1"/>
              <c:showCatName val="1"/>
            </c:dLbl>
            <c:dLbl>
              <c:idx val="5"/>
              <c:layout>
                <c:manualLayout>
                  <c:x val="-0.14609945960508824"/>
                  <c:y val="-3.6077241261854319E-2"/>
                </c:manualLayout>
              </c:layout>
              <c:tx>
                <c:rich>
                  <a:bodyPr/>
                  <a:lstStyle/>
                  <a:p>
                    <a:r>
                      <a:rPr lang="en-US" sz="1400"/>
                      <a:t>F</a:t>
                    </a:r>
                    <a:r>
                      <a:rPr lang="en-US"/>
                      <a:t>irst Nations SA for Disabled -</a:t>
                    </a:r>
                    <a:r>
                      <a:rPr lang="en-US" baseline="0"/>
                      <a:t> $40 M</a:t>
                    </a:r>
                    <a:endParaRPr lang="en-US"/>
                  </a:p>
                </c:rich>
              </c:tx>
              <c:showVal val="1"/>
              <c:showCatName val="1"/>
            </c:dLbl>
            <c:dLbl>
              <c:idx val="6"/>
              <c:layout>
                <c:manualLayout>
                  <c:x val="0.16886187683203291"/>
                  <c:y val="-0.14888290398572943"/>
                </c:manualLayout>
              </c:layout>
              <c:tx>
                <c:rich>
                  <a:bodyPr/>
                  <a:lstStyle/>
                  <a:p>
                    <a:r>
                      <a:rPr lang="en-US" sz="1400"/>
                      <a:t>W</a:t>
                    </a:r>
                    <a:r>
                      <a:rPr lang="en-US"/>
                      <a:t>orkers' Compensation </a:t>
                    </a:r>
                  </a:p>
                  <a:p>
                    <a:r>
                      <a:rPr lang="en-US"/>
                      <a:t>$1,411</a:t>
                    </a:r>
                    <a:r>
                      <a:rPr lang="en-US" baseline="0"/>
                      <a:t> M</a:t>
                    </a:r>
                    <a:endParaRPr lang="en-US"/>
                  </a:p>
                </c:rich>
              </c:tx>
              <c:showVal val="1"/>
              <c:showCatName val="1"/>
            </c:dLbl>
            <c:dLbl>
              <c:idx val="7"/>
              <c:layout>
                <c:manualLayout>
                  <c:x val="0.14848877183561734"/>
                  <c:y val="0.18060640357806287"/>
                </c:manualLayout>
              </c:layout>
              <c:tx>
                <c:rich>
                  <a:bodyPr/>
                  <a:lstStyle/>
                  <a:p>
                    <a:r>
                      <a:rPr lang="en-US" sz="1400"/>
                      <a:t>Private Disability Insurance</a:t>
                    </a:r>
                  </a:p>
                  <a:p>
                    <a:r>
                      <a:rPr lang="en-US" sz="1400"/>
                      <a:t>$1,451 M</a:t>
                    </a:r>
                  </a:p>
                </c:rich>
              </c:tx>
              <c:showVal val="1"/>
              <c:showCatName val="1"/>
            </c:dLbl>
            <c:txPr>
              <a:bodyPr/>
              <a:lstStyle/>
              <a:p>
                <a:pPr>
                  <a:defRPr sz="1400" b="1"/>
                </a:pPr>
                <a:endParaRPr lang="en-US"/>
              </a:p>
            </c:txPr>
            <c:showVal val="1"/>
            <c:showCatName val="1"/>
            <c:showLeaderLines val="1"/>
          </c:dLbls>
          <c:cat>
            <c:strRef>
              <c:f>(QUE!$A$265,QUE!$A$267:$A$271,QUE!$A$273:$A$274)</c:f>
              <c:strCache>
                <c:ptCount val="8"/>
                <c:pt idx="0">
                  <c:v>Disability Tax Measures</c:v>
                </c:pt>
                <c:pt idx="1">
                  <c:v>QPP-D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(QUE!$L$265,QUE!$L$267:$L$271,QUE!$L$273:$L$274)</c:f>
              <c:numCache>
                <c:formatCode>#,##0.0</c:formatCode>
                <c:ptCount val="8"/>
                <c:pt idx="0">
                  <c:v>585.01700000000005</c:v>
                </c:pt>
                <c:pt idx="1">
                  <c:v>764.8</c:v>
                </c:pt>
                <c:pt idx="2">
                  <c:v>362.4</c:v>
                </c:pt>
                <c:pt idx="3">
                  <c:v>263.10000000000002</c:v>
                </c:pt>
                <c:pt idx="4">
                  <c:v>1348.1091360066143</c:v>
                </c:pt>
                <c:pt idx="5">
                  <c:v>39.588999999999992</c:v>
                </c:pt>
                <c:pt idx="6">
                  <c:v>1410.6</c:v>
                </c:pt>
                <c:pt idx="7">
                  <c:v>1451</c:v>
                </c:pt>
              </c:numCache>
            </c:numRef>
          </c:val>
        </c:ser>
        <c:dLbls>
          <c:showCatName val="1"/>
          <c:showPercent val="1"/>
        </c:dLbls>
        <c:firstSliceAng val="0"/>
      </c:pieChart>
    </c:plotArea>
    <c:plotVisOnly val="1"/>
    <c:dispBlanksAs val="zero"/>
  </c:chart>
</c:chartSpace>
</file>

<file path=xl/charts/chart13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EXPENDITURES FOR PERSONS WITH DISABILITIES</a:t>
            </a:r>
            <a:endParaRPr lang="en-CA" sz="1800" b="1" i="0" baseline="0"/>
          </a:p>
          <a:p>
            <a:pPr>
              <a:defRPr/>
            </a:pPr>
            <a:r>
              <a:rPr lang="en-US" sz="1800" b="1" i="0" baseline="0"/>
              <a:t>QUEBEC 2005</a:t>
            </a:r>
            <a:endParaRPr lang="en-CA" sz="1800" b="1" i="0" baseline="0"/>
          </a:p>
          <a:p>
            <a:pPr>
              <a:defRPr/>
            </a:pPr>
            <a:r>
              <a:rPr lang="en-US" sz="1800" b="1" i="0" baseline="0"/>
              <a:t>$5.0 B</a:t>
            </a:r>
            <a:endParaRPr lang="en-CA"/>
          </a:p>
        </c:rich>
      </c:tx>
    </c:title>
    <c:plotArea>
      <c:layout>
        <c:manualLayout>
          <c:layoutTarget val="inner"/>
          <c:xMode val="edge"/>
          <c:yMode val="edge"/>
          <c:x val="0.26060964425462502"/>
          <c:y val="0.24175817192418098"/>
          <c:w val="0.49782185882194507"/>
          <c:h val="0.68576705861568743"/>
        </c:manualLayout>
      </c:layout>
      <c:pieChart>
        <c:varyColors val="1"/>
        <c:ser>
          <c:idx val="0"/>
          <c:order val="0"/>
          <c:dLbls>
            <c:dLbl>
              <c:idx val="0"/>
              <c:layout>
                <c:manualLayout>
                  <c:x val="0.16435381888605022"/>
                  <c:y val="5.1055103969333798E-2"/>
                </c:manualLayout>
              </c:layout>
              <c:tx>
                <c:rich>
                  <a:bodyPr/>
                  <a:lstStyle/>
                  <a:p>
                    <a:r>
                      <a:rPr lang="en-US" sz="1400"/>
                      <a:t>D</a:t>
                    </a:r>
                    <a:r>
                      <a:rPr lang="en-US"/>
                      <a:t>isability Tax Measures</a:t>
                    </a:r>
                  </a:p>
                  <a:p>
                    <a:r>
                      <a:rPr lang="en-US"/>
                      <a:t>$402 M</a:t>
                    </a:r>
                  </a:p>
                </c:rich>
              </c:tx>
              <c:showVal val="1"/>
              <c:showCatName val="1"/>
            </c:dLbl>
            <c:dLbl>
              <c:idx val="1"/>
              <c:layout>
                <c:manualLayout>
                  <c:x val="-0.10787173255757097"/>
                  <c:y val="0.11004843068933497"/>
                </c:manualLayout>
              </c:layout>
              <c:tx>
                <c:rich>
                  <a:bodyPr/>
                  <a:lstStyle/>
                  <a:p>
                    <a:r>
                      <a:rPr lang="en-US" sz="1400"/>
                      <a:t>Q</a:t>
                    </a:r>
                    <a:r>
                      <a:rPr lang="en-US"/>
                      <a:t>PP-D</a:t>
                    </a:r>
                  </a:p>
                  <a:p>
                    <a:r>
                      <a:rPr lang="en-US"/>
                      <a:t>$653 M</a:t>
                    </a:r>
                  </a:p>
                </c:rich>
              </c:tx>
              <c:showVal val="1"/>
              <c:showCatName val="1"/>
            </c:dLbl>
            <c:dLbl>
              <c:idx val="2"/>
              <c:layout>
                <c:manualLayout>
                  <c:x val="3.8951198381306416E-2"/>
                  <c:y val="3.179991725920814E-3"/>
                </c:manualLayout>
              </c:layout>
              <c:tx>
                <c:rich>
                  <a:bodyPr/>
                  <a:lstStyle/>
                  <a:p>
                    <a:r>
                      <a:rPr lang="en-US" sz="1400"/>
                      <a:t>E</a:t>
                    </a:r>
                    <a:r>
                      <a:rPr lang="en-US"/>
                      <a:t>I Sickness</a:t>
                    </a:r>
                  </a:p>
                  <a:p>
                    <a:r>
                      <a:rPr lang="en-US"/>
                      <a:t>$245 M</a:t>
                    </a:r>
                  </a:p>
                </c:rich>
              </c:tx>
              <c:showVal val="1"/>
              <c:showCatName val="1"/>
            </c:dLbl>
            <c:dLbl>
              <c:idx val="3"/>
              <c:layout>
                <c:manualLayout>
                  <c:x val="4.2426236601998298E-2"/>
                  <c:y val="3.1985639198037097E-2"/>
                </c:manualLayout>
              </c:layout>
              <c:tx>
                <c:rich>
                  <a:bodyPr/>
                  <a:lstStyle/>
                  <a:p>
                    <a:r>
                      <a:rPr lang="en-US" sz="1400"/>
                      <a:t>V</a:t>
                    </a:r>
                    <a:r>
                      <a:rPr lang="en-US"/>
                      <a:t>eterans' Disability Pensions &amp; Awards</a:t>
                    </a:r>
                  </a:p>
                  <a:p>
                    <a:r>
                      <a:rPr lang="en-US"/>
                      <a:t>$204 M</a:t>
                    </a:r>
                  </a:p>
                </c:rich>
              </c:tx>
              <c:showVal val="1"/>
              <c:showCatName val="1"/>
            </c:dLbl>
            <c:dLbl>
              <c:idx val="4"/>
              <c:layout>
                <c:manualLayout>
                  <c:x val="-0.11724906512695174"/>
                  <c:y val="-0.17856663970070971"/>
                </c:manualLayout>
              </c:layout>
              <c:tx>
                <c:rich>
                  <a:bodyPr/>
                  <a:lstStyle/>
                  <a:p>
                    <a:r>
                      <a:rPr lang="en-US" sz="1400"/>
                      <a:t>I</a:t>
                    </a:r>
                    <a:r>
                      <a:rPr lang="en-US"/>
                      <a:t>ncome Asst. for Persons</a:t>
                    </a:r>
                    <a:r>
                      <a:rPr lang="en-US" baseline="0"/>
                      <a:t> with Disabilities</a:t>
                    </a:r>
                  </a:p>
                  <a:p>
                    <a:r>
                      <a:rPr lang="en-US" baseline="0"/>
                      <a:t>$1,180 M</a:t>
                    </a:r>
                    <a:endParaRPr lang="en-US"/>
                  </a:p>
                </c:rich>
              </c:tx>
              <c:showVal val="1"/>
              <c:showCatName val="1"/>
            </c:dLbl>
            <c:dLbl>
              <c:idx val="5"/>
              <c:layout>
                <c:manualLayout>
                  <c:x val="-0.12849810441976059"/>
                  <c:y val="-2.8400999244402435E-2"/>
                </c:manualLayout>
              </c:layout>
              <c:tx>
                <c:rich>
                  <a:bodyPr/>
                  <a:lstStyle/>
                  <a:p>
                    <a:r>
                      <a:rPr lang="en-US" sz="1400"/>
                      <a:t>F</a:t>
                    </a:r>
                    <a:r>
                      <a:rPr lang="en-US"/>
                      <a:t>irst Nations SA for Disabled - $29 M</a:t>
                    </a:r>
                  </a:p>
                </c:rich>
              </c:tx>
              <c:showVal val="1"/>
              <c:showCatName val="1"/>
            </c:dLbl>
            <c:dLbl>
              <c:idx val="6"/>
              <c:layout>
                <c:manualLayout>
                  <c:x val="0.16738448678168399"/>
                  <c:y val="-0.15246833830180576"/>
                </c:manualLayout>
              </c:layout>
              <c:tx>
                <c:rich>
                  <a:bodyPr/>
                  <a:lstStyle/>
                  <a:p>
                    <a:r>
                      <a:rPr lang="en-US" sz="1400"/>
                      <a:t>W</a:t>
                    </a:r>
                    <a:r>
                      <a:rPr lang="en-US"/>
                      <a:t>orkers' Compensation </a:t>
                    </a:r>
                  </a:p>
                  <a:p>
                    <a:r>
                      <a:rPr lang="en-US"/>
                      <a:t>$1,227 M</a:t>
                    </a:r>
                  </a:p>
                </c:rich>
              </c:tx>
              <c:showVal val="1"/>
              <c:showCatName val="1"/>
            </c:dLbl>
            <c:dLbl>
              <c:idx val="7"/>
              <c:layout>
                <c:manualLayout>
                  <c:x val="0.14201633871144864"/>
                  <c:y val="0.17294684317188319"/>
                </c:manualLayout>
              </c:layout>
              <c:tx>
                <c:rich>
                  <a:bodyPr/>
                  <a:lstStyle/>
                  <a:p>
                    <a:r>
                      <a:rPr lang="en-US" sz="1400"/>
                      <a:t>P</a:t>
                    </a:r>
                    <a:r>
                      <a:rPr lang="en-US"/>
                      <a:t>rivate Disability Insurance</a:t>
                    </a:r>
                  </a:p>
                  <a:p>
                    <a:r>
                      <a:rPr lang="en-US"/>
                      <a:t>$1,072 M</a:t>
                    </a:r>
                  </a:p>
                </c:rich>
              </c:tx>
              <c:showVal val="1"/>
              <c:showCatName val="1"/>
            </c:dLbl>
            <c:txPr>
              <a:bodyPr/>
              <a:lstStyle/>
              <a:p>
                <a:pPr>
                  <a:defRPr sz="1400" b="1"/>
                </a:pPr>
                <a:endParaRPr lang="en-US"/>
              </a:p>
            </c:txPr>
            <c:showVal val="1"/>
            <c:showCatName val="1"/>
            <c:showLeaderLines val="1"/>
          </c:dLbls>
          <c:cat>
            <c:strRef>
              <c:f>(QUE!$A$265,QUE!$A$267:$A$271,QUE!$A$273:$A$274)</c:f>
              <c:strCache>
                <c:ptCount val="8"/>
                <c:pt idx="0">
                  <c:v>Disability Tax Measures</c:v>
                </c:pt>
                <c:pt idx="1">
                  <c:v>QPP-D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(QUE!$B$265,QUE!$B$267:$B$271,QUE!$B$273:$B$274)</c:f>
              <c:numCache>
                <c:formatCode>#,##0.0</c:formatCode>
                <c:ptCount val="8"/>
                <c:pt idx="0">
                  <c:v>401.84999999999997</c:v>
                </c:pt>
                <c:pt idx="1">
                  <c:v>652.79999999999995</c:v>
                </c:pt>
                <c:pt idx="2">
                  <c:v>244.9</c:v>
                </c:pt>
                <c:pt idx="3">
                  <c:v>203.68799999999999</c:v>
                </c:pt>
                <c:pt idx="4">
                  <c:v>1180.2560000000001</c:v>
                </c:pt>
                <c:pt idx="5">
                  <c:v>29.315000000000001</c:v>
                </c:pt>
                <c:pt idx="6">
                  <c:v>1227.0999999999999</c:v>
                </c:pt>
                <c:pt idx="7">
                  <c:v>1072</c:v>
                </c:pt>
              </c:numCache>
            </c:numRef>
          </c:val>
        </c:ser>
        <c:dLbls>
          <c:showCatName val="1"/>
          <c:showPercent val="1"/>
        </c:dLbls>
        <c:firstSliceAng val="0"/>
      </c:pieChart>
    </c:plotArea>
    <c:plotVisOnly val="1"/>
    <c:dispBlanksAs val="zero"/>
  </c:chart>
</c:chartSpace>
</file>

<file path=xl/charts/chart13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DISABILITY BENEFIT EXPENDITURES</a:t>
            </a:r>
            <a:endParaRPr lang="en-CA"/>
          </a:p>
          <a:p>
            <a:pPr>
              <a:defRPr/>
            </a:pPr>
            <a:r>
              <a:rPr lang="en-US" sz="1800" b="1" i="0" baseline="0"/>
              <a:t>QUEBEC 2011-12</a:t>
            </a:r>
            <a:endParaRPr lang="en-CA"/>
          </a:p>
          <a:p>
            <a:pPr>
              <a:defRPr/>
            </a:pPr>
            <a:r>
              <a:rPr lang="en-US" sz="1800" b="1" i="0" baseline="0"/>
              <a:t>$5.9 B</a:t>
            </a:r>
            <a:endParaRPr lang="en-CA"/>
          </a:p>
        </c:rich>
      </c:tx>
    </c:title>
    <c:plotArea>
      <c:layout/>
      <c:pieChart>
        <c:varyColors val="1"/>
        <c:ser>
          <c:idx val="6"/>
          <c:order val="0"/>
          <c:dLbls>
            <c:dLbl>
              <c:idx val="0"/>
              <c:tx>
                <c:rich>
                  <a:bodyPr/>
                  <a:lstStyle/>
                  <a:p>
                    <a:r>
                      <a:rPr lang="en-US"/>
                      <a:t>Disability Tax Measures</a:t>
                    </a:r>
                  </a:p>
                  <a:p>
                    <a:r>
                      <a:rPr lang="en-US"/>
                      <a:t>$538</a:t>
                    </a:r>
                    <a:r>
                      <a:rPr lang="en-US" baseline="0"/>
                      <a:t> M</a:t>
                    </a:r>
                    <a:endParaRPr lang="en-US"/>
                  </a:p>
                </c:rich>
              </c:tx>
              <c:showVal val="1"/>
              <c:showCatName val="1"/>
            </c:dLbl>
            <c:dLbl>
              <c:idx val="1"/>
              <c:layout>
                <c:manualLayout>
                  <c:x val="5.3814249744195873E-2"/>
                  <c:y val="4.3494521123368622E-3"/>
                </c:manualLayout>
              </c:layout>
              <c:tx>
                <c:rich>
                  <a:bodyPr/>
                  <a:lstStyle/>
                  <a:p>
                    <a:r>
                      <a:rPr lang="en-US"/>
                      <a:t>CPP-D</a:t>
                    </a:r>
                  </a:p>
                  <a:p>
                    <a:r>
                      <a:rPr lang="en-US"/>
                      <a:t>$18</a:t>
                    </a:r>
                    <a:r>
                      <a:rPr lang="en-US" baseline="0"/>
                      <a:t> M</a:t>
                    </a:r>
                    <a:endParaRPr lang="en-US"/>
                  </a:p>
                </c:rich>
              </c:tx>
              <c:showVal val="1"/>
              <c:showCatName val="1"/>
            </c:dLbl>
            <c:dLbl>
              <c:idx val="2"/>
              <c:layout>
                <c:manualLayout>
                  <c:x val="-0.12481835368233395"/>
                  <c:y val="7.7635583370244704E-2"/>
                </c:manualLayout>
              </c:layout>
              <c:tx>
                <c:rich>
                  <a:bodyPr/>
                  <a:lstStyle/>
                  <a:p>
                    <a:r>
                      <a:rPr lang="en-US"/>
                      <a:t>QPP-D</a:t>
                    </a:r>
                  </a:p>
                  <a:p>
                    <a:r>
                      <a:rPr lang="en-US"/>
                      <a:t>$755</a:t>
                    </a:r>
                    <a:r>
                      <a:rPr lang="en-US" baseline="0"/>
                      <a:t> M</a:t>
                    </a:r>
                    <a:endParaRPr lang="en-US"/>
                  </a:p>
                </c:rich>
              </c:tx>
              <c:showVal val="1"/>
              <c:showCatName val="1"/>
            </c:dLbl>
            <c:dLbl>
              <c:idx val="3"/>
              <c:tx>
                <c:rich>
                  <a:bodyPr/>
                  <a:lstStyle/>
                  <a:p>
                    <a:r>
                      <a:rPr lang="en-US"/>
                      <a:t>EI Sickness</a:t>
                    </a:r>
                  </a:p>
                  <a:p>
                    <a:r>
                      <a:rPr lang="en-US"/>
                      <a:t>$313</a:t>
                    </a:r>
                    <a:r>
                      <a:rPr lang="en-US" baseline="0"/>
                      <a:t> M</a:t>
                    </a:r>
                    <a:endParaRPr lang="en-US"/>
                  </a:p>
                </c:rich>
              </c:tx>
              <c:showVal val="1"/>
              <c:showCatName val="1"/>
            </c:dLbl>
            <c:dLbl>
              <c:idx val="4"/>
              <c:layout>
                <c:manualLayout>
                  <c:x val="3.4355661875355797E-2"/>
                  <c:y val="-2.8848225298982129E-2"/>
                </c:manualLayout>
              </c:layout>
              <c:tx>
                <c:rich>
                  <a:bodyPr/>
                  <a:lstStyle/>
                  <a:p>
                    <a:r>
                      <a:rPr lang="en-US"/>
                      <a:t>Veterans' Disability Pensions &amp; Awards</a:t>
                    </a:r>
                  </a:p>
                  <a:p>
                    <a:r>
                      <a:rPr lang="en-US"/>
                      <a:t>$261</a:t>
                    </a:r>
                    <a:r>
                      <a:rPr lang="en-US" baseline="0"/>
                      <a:t> M</a:t>
                    </a:r>
                    <a:endParaRPr lang="en-US"/>
                  </a:p>
                </c:rich>
              </c:tx>
              <c:showVal val="1"/>
              <c:showCatName val="1"/>
            </c:dLbl>
            <c:dLbl>
              <c:idx val="5"/>
              <c:layout>
                <c:manualLayout>
                  <c:x val="-0.12381255207194462"/>
                  <c:y val="-0.16817081842844567"/>
                </c:manualLayout>
              </c:layout>
              <c:tx>
                <c:rich>
                  <a:bodyPr/>
                  <a:lstStyle/>
                  <a:p>
                    <a:r>
                      <a:rPr lang="en-US"/>
                      <a:t>Income Asst. for the Disabled</a:t>
                    </a:r>
                  </a:p>
                  <a:p>
                    <a:r>
                      <a:rPr lang="en-US"/>
                      <a:t>$1,315</a:t>
                    </a:r>
                    <a:r>
                      <a:rPr lang="en-US" baseline="0"/>
                      <a:t> M</a:t>
                    </a:r>
                    <a:endParaRPr lang="en-US"/>
                  </a:p>
                </c:rich>
              </c:tx>
              <c:showVal val="1"/>
              <c:showCatName val="1"/>
            </c:dLbl>
            <c:dLbl>
              <c:idx val="6"/>
              <c:layout>
                <c:manualLayout>
                  <c:x val="-8.0428722215609968E-2"/>
                  <c:y val="-7.26079046053325E-3"/>
                </c:manualLayout>
              </c:layout>
              <c:tx>
                <c:rich>
                  <a:bodyPr/>
                  <a:lstStyle/>
                  <a:p>
                    <a:r>
                      <a:rPr lang="en-US"/>
                      <a:t>First Nations SA for Disabled</a:t>
                    </a:r>
                  </a:p>
                  <a:p>
                    <a:r>
                      <a:rPr lang="en-US"/>
                      <a:t>$35</a:t>
                    </a:r>
                    <a:r>
                      <a:rPr lang="en-US" baseline="0"/>
                      <a:t> M</a:t>
                    </a:r>
                    <a:endParaRPr lang="en-US"/>
                  </a:p>
                </c:rich>
              </c:tx>
              <c:showVal val="1"/>
              <c:showCatName val="1"/>
            </c:dLbl>
            <c:dLbl>
              <c:idx val="7"/>
              <c:layout>
                <c:manualLayout>
                  <c:x val="0.1695377741302429"/>
                  <c:y val="-0.13158359647913145"/>
                </c:manualLayout>
              </c:layout>
              <c:tx>
                <c:rich>
                  <a:bodyPr/>
                  <a:lstStyle/>
                  <a:p>
                    <a:r>
                      <a:rPr lang="en-US"/>
                      <a:t>Workers' Compensation</a:t>
                    </a:r>
                  </a:p>
                  <a:p>
                    <a:r>
                      <a:rPr lang="en-US"/>
                      <a:t>$1,365 M</a:t>
                    </a:r>
                  </a:p>
                </c:rich>
              </c:tx>
              <c:showVal val="1"/>
              <c:showCatName val="1"/>
            </c:dLbl>
            <c:dLbl>
              <c:idx val="8"/>
              <c:layout>
                <c:manualLayout>
                  <c:x val="0.13730939246399698"/>
                  <c:y val="0.18769068670408856"/>
                </c:manualLayout>
              </c:layout>
              <c:tx>
                <c:rich>
                  <a:bodyPr/>
                  <a:lstStyle/>
                  <a:p>
                    <a:r>
                      <a:rPr lang="en-US"/>
                      <a:t>Private Disability Insurance</a:t>
                    </a:r>
                  </a:p>
                  <a:p>
                    <a:r>
                      <a:rPr lang="en-US"/>
                      <a:t>$1,289</a:t>
                    </a:r>
                    <a:r>
                      <a:rPr lang="en-US" baseline="0"/>
                      <a:t> M</a:t>
                    </a:r>
                    <a:endParaRPr lang="en-US"/>
                  </a:p>
                </c:rich>
              </c:tx>
              <c:showVal val="1"/>
              <c:showCatName val="1"/>
            </c:dLbl>
            <c:txPr>
              <a:bodyPr/>
              <a:lstStyle/>
              <a:p>
                <a:pPr>
                  <a:defRPr sz="1400" b="1"/>
                </a:pPr>
                <a:endParaRPr lang="en-US"/>
              </a:p>
            </c:txPr>
            <c:showVal val="1"/>
            <c:showCatName val="1"/>
            <c:showLeaderLines val="1"/>
          </c:dLbls>
          <c:cat>
            <c:strRef>
              <c:f>(QUE!$A$265:$A$271,QUE!$A$273:$A$274)</c:f>
              <c:strCache>
                <c:ptCount val="9"/>
                <c:pt idx="0">
                  <c:v>Disability Tax Measures</c:v>
                </c:pt>
                <c:pt idx="1">
                  <c:v>CPP-D</c:v>
                </c:pt>
                <c:pt idx="2">
                  <c:v>QPP-D</c:v>
                </c:pt>
                <c:pt idx="3">
                  <c:v>EI Sickness</c:v>
                </c:pt>
                <c:pt idx="4">
                  <c:v>Veterans' Disability Pensions &amp; Awards</c:v>
                </c:pt>
                <c:pt idx="5">
                  <c:v>Income Asst. for the Disabled</c:v>
                </c:pt>
                <c:pt idx="6">
                  <c:v>First Nations SA for Disabled </c:v>
                </c:pt>
                <c:pt idx="7">
                  <c:v>Workers' Compensation </c:v>
                </c:pt>
                <c:pt idx="8">
                  <c:v>Private Disability Insurance</c:v>
                </c:pt>
              </c:strCache>
            </c:strRef>
          </c:cat>
          <c:val>
            <c:numRef>
              <c:f>(QUE!$H$265:$H$271,QUE!$H$273:$H$274)</c:f>
              <c:numCache>
                <c:formatCode>#,##0.0</c:formatCode>
                <c:ptCount val="9"/>
                <c:pt idx="0">
                  <c:v>537.87117999999998</c:v>
                </c:pt>
                <c:pt idx="1">
                  <c:v>18.2</c:v>
                </c:pt>
                <c:pt idx="2">
                  <c:v>755.4</c:v>
                </c:pt>
                <c:pt idx="3">
                  <c:v>313</c:v>
                </c:pt>
                <c:pt idx="4">
                  <c:v>261.09999999999997</c:v>
                </c:pt>
                <c:pt idx="5">
                  <c:v>1315.0183639398997</c:v>
                </c:pt>
                <c:pt idx="6">
                  <c:v>34.925000000000004</c:v>
                </c:pt>
                <c:pt idx="7">
                  <c:v>1364.6</c:v>
                </c:pt>
                <c:pt idx="8">
                  <c:v>1289</c:v>
                </c:pt>
              </c:numCache>
            </c:numRef>
          </c:val>
        </c:ser>
        <c:dLbls>
          <c:showCatName val="1"/>
          <c:showPercent val="1"/>
        </c:dLbls>
        <c:firstSliceAng val="0"/>
      </c:pieChart>
    </c:plotArea>
    <c:plotVisOnly val="1"/>
    <c:dispBlanksAs val="zero"/>
  </c:chart>
</c:chartSpace>
</file>

<file path=xl/charts/chart13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p>
          <a:p>
            <a:pPr>
              <a:defRPr lang="en-US"/>
            </a:pPr>
            <a:r>
              <a:rPr lang="en-US" sz="1800" b="1" i="0" baseline="0"/>
              <a:t>QUEBEC 2010-11</a:t>
            </a:r>
          </a:p>
          <a:p>
            <a:pPr>
              <a:defRPr lang="en-US"/>
            </a:pPr>
            <a:r>
              <a:rPr lang="en-US" sz="1800" b="1" i="0" baseline="0"/>
              <a:t>$5.8 B</a:t>
            </a:r>
            <a:endParaRPr lang="en-US"/>
          </a:p>
        </c:rich>
      </c:tx>
    </c:title>
    <c:plotArea>
      <c:layout/>
      <c:pieChart>
        <c:varyColors val="1"/>
        <c:ser>
          <c:idx val="4"/>
          <c:order val="0"/>
          <c:dLbls>
            <c:dLbl>
              <c:idx val="0"/>
              <c:tx>
                <c:rich>
                  <a:bodyPr/>
                  <a:lstStyle/>
                  <a:p>
                    <a:r>
                      <a:rPr lang="en-US"/>
                      <a:t>Disability Tax Measures</a:t>
                    </a:r>
                  </a:p>
                  <a:p>
                    <a:r>
                      <a:rPr lang="en-US"/>
                      <a:t> $506</a:t>
                    </a:r>
                    <a:r>
                      <a:rPr lang="en-US" baseline="0"/>
                      <a:t> M</a:t>
                    </a:r>
                    <a:endParaRPr lang="en-US"/>
                  </a:p>
                </c:rich>
              </c:tx>
              <c:showVal val="1"/>
              <c:showCatName val="1"/>
            </c:dLbl>
            <c:dLbl>
              <c:idx val="1"/>
              <c:layout>
                <c:manualLayout>
                  <c:x val="4.9434436410512934E-2"/>
                  <c:y val="9.0872412618590147E-3"/>
                </c:manualLayout>
              </c:layout>
              <c:tx>
                <c:rich>
                  <a:bodyPr/>
                  <a:lstStyle/>
                  <a:p>
                    <a:r>
                      <a:rPr lang="en-US"/>
                      <a:t>CPP-D</a:t>
                    </a:r>
                  </a:p>
                  <a:p>
                    <a:r>
                      <a:rPr lang="en-US"/>
                      <a:t>$17</a:t>
                    </a:r>
                    <a:r>
                      <a:rPr lang="en-US" baseline="0"/>
                      <a:t> M</a:t>
                    </a:r>
                    <a:endParaRPr lang="en-US"/>
                  </a:p>
                </c:rich>
              </c:tx>
              <c:showVal val="1"/>
              <c:showCatName val="1"/>
            </c:dLbl>
            <c:dLbl>
              <c:idx val="2"/>
              <c:layout>
                <c:manualLayout>
                  <c:x val="-0.11100649022133686"/>
                  <c:y val="9.4588477516483568E-2"/>
                </c:manualLayout>
              </c:layout>
              <c:tx>
                <c:rich>
                  <a:bodyPr/>
                  <a:lstStyle/>
                  <a:p>
                    <a:r>
                      <a:rPr lang="en-US"/>
                      <a:t>QPP-D</a:t>
                    </a:r>
                  </a:p>
                  <a:p>
                    <a:r>
                      <a:rPr lang="en-US"/>
                      <a:t>$756</a:t>
                    </a:r>
                    <a:r>
                      <a:rPr lang="en-US" baseline="0"/>
                      <a:t> M</a:t>
                    </a:r>
                    <a:endParaRPr lang="en-US"/>
                  </a:p>
                </c:rich>
              </c:tx>
              <c:showVal val="1"/>
              <c:showCatName val="1"/>
            </c:dLbl>
            <c:dLbl>
              <c:idx val="3"/>
              <c:layout>
                <c:manualLayout>
                  <c:x val="-0.11775825417909268"/>
                  <c:y val="5.4511702438004104E-3"/>
                </c:manualLayout>
              </c:layout>
              <c:tx>
                <c:rich>
                  <a:bodyPr/>
                  <a:lstStyle/>
                  <a:p>
                    <a:r>
                      <a:rPr lang="en-US"/>
                      <a:t>EI Sickness</a:t>
                    </a:r>
                  </a:p>
                  <a:p>
                    <a:r>
                      <a:rPr lang="en-US"/>
                      <a:t>$297</a:t>
                    </a:r>
                    <a:r>
                      <a:rPr lang="en-US" baseline="0"/>
                      <a:t> M</a:t>
                    </a:r>
                    <a:endParaRPr lang="en-US"/>
                  </a:p>
                </c:rich>
              </c:tx>
              <c:showVal val="1"/>
              <c:showCatName val="1"/>
            </c:dLbl>
            <c:dLbl>
              <c:idx val="4"/>
              <c:layout>
                <c:manualLayout>
                  <c:x val="2.9452153776689281E-2"/>
                  <c:y val="1.7019332806601218E-2"/>
                </c:manualLayout>
              </c:layout>
              <c:tx>
                <c:rich>
                  <a:bodyPr/>
                  <a:lstStyle/>
                  <a:p>
                    <a:r>
                      <a:rPr lang="en-US"/>
                      <a:t>Veterans' Disability Pensions &amp; Awards</a:t>
                    </a:r>
                  </a:p>
                  <a:p>
                    <a:r>
                      <a:rPr lang="en-US"/>
                      <a:t>$256</a:t>
                    </a:r>
                    <a:r>
                      <a:rPr lang="en-US" baseline="0"/>
                      <a:t> M</a:t>
                    </a:r>
                    <a:endParaRPr lang="en-US"/>
                  </a:p>
                </c:rich>
              </c:tx>
              <c:showVal val="1"/>
              <c:showCatName val="1"/>
            </c:dLbl>
            <c:dLbl>
              <c:idx val="5"/>
              <c:layout>
                <c:manualLayout>
                  <c:x val="-0.11937712175659022"/>
                  <c:y val="-0.20548142189756569"/>
                </c:manualLayout>
              </c:layout>
              <c:tx>
                <c:rich>
                  <a:bodyPr/>
                  <a:lstStyle/>
                  <a:p>
                    <a:r>
                      <a:rPr lang="en-US"/>
                      <a:t>Income Asst. for the Disabled</a:t>
                    </a:r>
                  </a:p>
                  <a:p>
                    <a:r>
                      <a:rPr lang="en-US"/>
                      <a:t>$1,304 M</a:t>
                    </a:r>
                  </a:p>
                </c:rich>
              </c:tx>
              <c:showVal val="1"/>
              <c:showCatName val="1"/>
            </c:dLbl>
            <c:dLbl>
              <c:idx val="6"/>
              <c:layout>
                <c:manualLayout>
                  <c:x val="-0.12101166230013223"/>
                  <c:y val="-8.3671376253436538E-3"/>
                </c:manualLayout>
              </c:layout>
              <c:tx>
                <c:rich>
                  <a:bodyPr/>
                  <a:lstStyle/>
                  <a:p>
                    <a:r>
                      <a:rPr lang="en-US"/>
                      <a:t>First Nations SA for Disabled</a:t>
                    </a:r>
                  </a:p>
                  <a:p>
                    <a:r>
                      <a:rPr lang="en-US"/>
                      <a:t>$34 M</a:t>
                    </a:r>
                  </a:p>
                </c:rich>
              </c:tx>
              <c:showVal val="1"/>
              <c:showCatName val="1"/>
            </c:dLbl>
            <c:dLbl>
              <c:idx val="7"/>
              <c:layout>
                <c:manualLayout>
                  <c:x val="0.1891071272582612"/>
                  <c:y val="-0.11337386568202235"/>
                </c:manualLayout>
              </c:layout>
              <c:tx>
                <c:rich>
                  <a:bodyPr/>
                  <a:lstStyle/>
                  <a:p>
                    <a:r>
                      <a:rPr lang="en-US"/>
                      <a:t>Workers' Compensation $1,350</a:t>
                    </a:r>
                    <a:r>
                      <a:rPr lang="en-US" baseline="0"/>
                      <a:t> M</a:t>
                    </a:r>
                    <a:endParaRPr lang="en-US"/>
                  </a:p>
                </c:rich>
              </c:tx>
              <c:showVal val="1"/>
              <c:showCatName val="1"/>
            </c:dLbl>
            <c:dLbl>
              <c:idx val="8"/>
              <c:layout>
                <c:manualLayout>
                  <c:x val="0.14297392456370958"/>
                  <c:y val="0.18587577902769978"/>
                </c:manualLayout>
              </c:layout>
              <c:tx>
                <c:rich>
                  <a:bodyPr/>
                  <a:lstStyle/>
                  <a:p>
                    <a:r>
                      <a:rPr lang="en-US"/>
                      <a:t>Private Disability Insurance</a:t>
                    </a:r>
                  </a:p>
                  <a:p>
                    <a:r>
                      <a:rPr lang="en-US"/>
                      <a:t> $1,252</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(QUE!$A$265:$A$271,QUE!$A$273:$A$274)</c:f>
              <c:strCache>
                <c:ptCount val="9"/>
                <c:pt idx="0">
                  <c:v>Disability Tax Measures</c:v>
                </c:pt>
                <c:pt idx="1">
                  <c:v>CPP-D</c:v>
                </c:pt>
                <c:pt idx="2">
                  <c:v>QPP-D</c:v>
                </c:pt>
                <c:pt idx="3">
                  <c:v>EI Sickness</c:v>
                </c:pt>
                <c:pt idx="4">
                  <c:v>Veterans' Disability Pensions &amp; Awards</c:v>
                </c:pt>
                <c:pt idx="5">
                  <c:v>Income Asst. for the Disabled</c:v>
                </c:pt>
                <c:pt idx="6">
                  <c:v>First Nations SA for Disabled </c:v>
                </c:pt>
                <c:pt idx="7">
                  <c:v>Workers' Compensation </c:v>
                </c:pt>
                <c:pt idx="8">
                  <c:v>Private Disability Insurance</c:v>
                </c:pt>
              </c:strCache>
            </c:strRef>
          </c:cat>
          <c:val>
            <c:numRef>
              <c:f>(QUE!$F$265:$F$271,QUE!$F$273:$F$274)</c:f>
              <c:numCache>
                <c:formatCode>#,##0.0</c:formatCode>
                <c:ptCount val="9"/>
                <c:pt idx="0">
                  <c:v>505.98239999999998</c:v>
                </c:pt>
                <c:pt idx="1">
                  <c:v>17.399999999999999</c:v>
                </c:pt>
                <c:pt idx="2">
                  <c:v>756</c:v>
                </c:pt>
                <c:pt idx="3">
                  <c:v>296.5</c:v>
                </c:pt>
                <c:pt idx="4">
                  <c:v>256.2</c:v>
                </c:pt>
                <c:pt idx="5">
                  <c:v>1303.5600000000002</c:v>
                </c:pt>
                <c:pt idx="6">
                  <c:v>33.825000000000003</c:v>
                </c:pt>
                <c:pt idx="7">
                  <c:v>1350.4</c:v>
                </c:pt>
                <c:pt idx="8">
                  <c:v>1252</c:v>
                </c:pt>
              </c:numCache>
            </c:numRef>
          </c:val>
        </c:ser>
        <c:dLbls>
          <c:showCatName val="1"/>
          <c:showPercent val="1"/>
        </c:dLbls>
        <c:firstSliceAng val="0"/>
      </c:pieChart>
    </c:plotArea>
    <c:plotVisOnly val="1"/>
    <c:dispBlanksAs val="zero"/>
  </c:chart>
</c:chartSpace>
</file>

<file path=xl/charts/chart13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QUEBEC 2009-10</a:t>
            </a:r>
            <a:endParaRPr lang="en-US"/>
          </a:p>
          <a:p>
            <a:pPr>
              <a:defRPr lang="en-US"/>
            </a:pPr>
            <a:r>
              <a:rPr lang="en-US" sz="1800" b="1" i="0" baseline="0"/>
              <a:t>$5.7 B</a:t>
            </a:r>
          </a:p>
        </c:rich>
      </c:tx>
    </c:title>
    <c:plotArea>
      <c:layout/>
      <c:pieChart>
        <c:varyColors val="1"/>
        <c:ser>
          <c:idx val="2"/>
          <c:order val="0"/>
          <c:dLbls>
            <c:dLbl>
              <c:idx val="0"/>
              <c:tx>
                <c:rich>
                  <a:bodyPr/>
                  <a:lstStyle/>
                  <a:p>
                    <a:r>
                      <a:rPr lang="en-US"/>
                      <a:t>Disability Tax Measures
$475 M</a:t>
                    </a:r>
                  </a:p>
                </c:rich>
              </c:tx>
              <c:showVal val="1"/>
              <c:showCatName val="1"/>
            </c:dLbl>
            <c:dLbl>
              <c:idx val="1"/>
              <c:layout>
                <c:manualLayout>
                  <c:x val="4.9175717228347023E-2"/>
                  <c:y val="-1.9300745562006241E-2"/>
                </c:manualLayout>
              </c:layout>
              <c:tx>
                <c:rich>
                  <a:bodyPr/>
                  <a:lstStyle/>
                  <a:p>
                    <a:r>
                      <a:rPr lang="en-US"/>
                      <a:t>CPP-D</a:t>
                    </a:r>
                  </a:p>
                  <a:p>
                    <a:r>
                      <a:rPr lang="en-US"/>
                      <a:t>$16</a:t>
                    </a:r>
                    <a:r>
                      <a:rPr lang="en-US" baseline="0"/>
                      <a:t> M</a:t>
                    </a:r>
                    <a:endParaRPr lang="en-US"/>
                  </a:p>
                </c:rich>
              </c:tx>
              <c:showVal val="1"/>
              <c:showCatName val="1"/>
            </c:dLbl>
            <c:dLbl>
              <c:idx val="2"/>
              <c:layout>
                <c:manualLayout>
                  <c:x val="-0.12081880414808095"/>
                  <c:y val="9.7083207284774459E-2"/>
                </c:manualLayout>
              </c:layout>
              <c:tx>
                <c:rich>
                  <a:bodyPr/>
                  <a:lstStyle/>
                  <a:p>
                    <a:r>
                      <a:rPr lang="en-US"/>
                      <a:t>QPP-D</a:t>
                    </a:r>
                  </a:p>
                  <a:p>
                    <a:r>
                      <a:rPr lang="en-US"/>
                      <a:t>$749</a:t>
                    </a:r>
                    <a:r>
                      <a:rPr lang="en-US" baseline="0"/>
                      <a:t> M</a:t>
                    </a:r>
                    <a:endParaRPr lang="en-US"/>
                  </a:p>
                </c:rich>
              </c:tx>
              <c:showVal val="1"/>
              <c:showCatName val="1"/>
            </c:dLbl>
            <c:dLbl>
              <c:idx val="3"/>
              <c:tx>
                <c:rich>
                  <a:bodyPr/>
                  <a:lstStyle/>
                  <a:p>
                    <a:r>
                      <a:rPr lang="en-US"/>
                      <a:t>EI Sickness</a:t>
                    </a:r>
                  </a:p>
                  <a:p>
                    <a:r>
                      <a:rPr lang="en-US"/>
                      <a:t>$299</a:t>
                    </a:r>
                    <a:r>
                      <a:rPr lang="en-US" baseline="0"/>
                      <a:t> M</a:t>
                    </a:r>
                    <a:endParaRPr lang="en-US"/>
                  </a:p>
                </c:rich>
              </c:tx>
              <c:showVal val="1"/>
              <c:showCatName val="1"/>
            </c:dLbl>
            <c:dLbl>
              <c:idx val="4"/>
              <c:layout>
                <c:manualLayout>
                  <c:x val="2.9429162918407692E-2"/>
                  <c:y val="1.3169944775653666E-2"/>
                </c:manualLayout>
              </c:layout>
              <c:tx>
                <c:rich>
                  <a:bodyPr/>
                  <a:lstStyle/>
                  <a:p>
                    <a:r>
                      <a:rPr lang="en-US"/>
                      <a:t>Veterans' Disability Pensions &amp; Awards</a:t>
                    </a:r>
                  </a:p>
                  <a:p>
                    <a:r>
                      <a:rPr lang="en-US"/>
                      <a:t>$240 M</a:t>
                    </a:r>
                  </a:p>
                </c:rich>
              </c:tx>
              <c:showVal val="1"/>
              <c:showCatName val="1"/>
            </c:dLbl>
            <c:dLbl>
              <c:idx val="5"/>
              <c:layout>
                <c:manualLayout>
                  <c:x val="-0.12788679324430627"/>
                  <c:y val="-0.18166308545917823"/>
                </c:manualLayout>
              </c:layout>
              <c:tx>
                <c:rich>
                  <a:bodyPr/>
                  <a:lstStyle/>
                  <a:p>
                    <a:r>
                      <a:rPr lang="en-US"/>
                      <a:t>Income Asst. for the Disabled</a:t>
                    </a:r>
                  </a:p>
                  <a:p>
                    <a:r>
                      <a:rPr lang="en-US"/>
                      <a:t>$1,274 M</a:t>
                    </a:r>
                  </a:p>
                </c:rich>
              </c:tx>
              <c:showVal val="1"/>
              <c:showCatName val="1"/>
            </c:dLbl>
            <c:dLbl>
              <c:idx val="6"/>
              <c:layout>
                <c:manualLayout>
                  <c:x val="-8.5689060799814726E-2"/>
                  <c:y val="-9.8789267233840208E-3"/>
                </c:manualLayout>
              </c:layout>
              <c:tx>
                <c:rich>
                  <a:bodyPr/>
                  <a:lstStyle/>
                  <a:p>
                    <a:r>
                      <a:rPr lang="en-US"/>
                      <a:t>First Nations SA for Disabled</a:t>
                    </a:r>
                  </a:p>
                  <a:p>
                    <a:r>
                      <a:rPr lang="en-US"/>
                      <a:t>$34 M</a:t>
                    </a:r>
                  </a:p>
                </c:rich>
              </c:tx>
              <c:showVal val="1"/>
              <c:showCatName val="1"/>
            </c:dLbl>
            <c:dLbl>
              <c:idx val="7"/>
              <c:layout>
                <c:manualLayout>
                  <c:x val="0.19073331272799551"/>
                  <c:y val="-0.11056408065287704"/>
                </c:manualLayout>
              </c:layout>
              <c:tx>
                <c:rich>
                  <a:bodyPr/>
                  <a:lstStyle/>
                  <a:p>
                    <a:r>
                      <a:rPr lang="en-US"/>
                      <a:t>Worker's Compensation $1,364</a:t>
                    </a:r>
                    <a:r>
                      <a:rPr lang="en-US" baseline="0"/>
                      <a:t> M</a:t>
                    </a:r>
                    <a:endParaRPr lang="en-US"/>
                  </a:p>
                </c:rich>
              </c:tx>
              <c:showVal val="1"/>
              <c:showCatName val="1"/>
            </c:dLbl>
            <c:dLbl>
              <c:idx val="8"/>
              <c:layout>
                <c:manualLayout>
                  <c:x val="0.13282671623011455"/>
                  <c:y val="0.1894986764504723"/>
                </c:manualLayout>
              </c:layout>
              <c:tx>
                <c:rich>
                  <a:bodyPr/>
                  <a:lstStyle/>
                  <a:p>
                    <a:r>
                      <a:rPr lang="en-US"/>
                      <a:t>Private Disability Insurance</a:t>
                    </a:r>
                  </a:p>
                  <a:p>
                    <a:r>
                      <a:rPr lang="en-US"/>
                      <a:t>$1,227 M</a:t>
                    </a:r>
                  </a:p>
                </c:rich>
              </c:tx>
              <c:showVal val="1"/>
              <c:showCatName val="1"/>
            </c:dLbl>
            <c:txPr>
              <a:bodyPr/>
              <a:lstStyle/>
              <a:p>
                <a:pPr>
                  <a:defRPr lang="en-US" sz="1200" b="1" i="0" baseline="0"/>
                </a:pPr>
                <a:endParaRPr lang="en-US"/>
              </a:p>
            </c:txPr>
            <c:showVal val="1"/>
            <c:showCatName val="1"/>
            <c:showLeaderLines val="1"/>
          </c:dLbls>
          <c:cat>
            <c:strRef>
              <c:f>(QUE!$A$265:$A$271,QUE!$A$273:$A$274)</c:f>
              <c:strCache>
                <c:ptCount val="9"/>
                <c:pt idx="0">
                  <c:v>Disability Tax Measures</c:v>
                </c:pt>
                <c:pt idx="1">
                  <c:v>CPP-D</c:v>
                </c:pt>
                <c:pt idx="2">
                  <c:v>QPP-D</c:v>
                </c:pt>
                <c:pt idx="3">
                  <c:v>EI Sickness</c:v>
                </c:pt>
                <c:pt idx="4">
                  <c:v>Veterans' Disability Pensions &amp; Awards</c:v>
                </c:pt>
                <c:pt idx="5">
                  <c:v>Income Asst. for the Disabled</c:v>
                </c:pt>
                <c:pt idx="6">
                  <c:v>First Nations SA for Disabled </c:v>
                </c:pt>
                <c:pt idx="7">
                  <c:v>Workers' Compensation </c:v>
                </c:pt>
                <c:pt idx="8">
                  <c:v>Private Disability Insurance</c:v>
                </c:pt>
              </c:strCache>
            </c:strRef>
          </c:cat>
          <c:val>
            <c:numRef>
              <c:f>(QUE!$D$265:$D$271,QUE!$D$273:$D$274)</c:f>
              <c:numCache>
                <c:formatCode>#,##0.0</c:formatCode>
                <c:ptCount val="9"/>
                <c:pt idx="0">
                  <c:v>475.25200000000012</c:v>
                </c:pt>
                <c:pt idx="1">
                  <c:v>16.399999999999999</c:v>
                </c:pt>
                <c:pt idx="2">
                  <c:v>749.4</c:v>
                </c:pt>
                <c:pt idx="3">
                  <c:v>298.8</c:v>
                </c:pt>
                <c:pt idx="4">
                  <c:v>239.56359999999998</c:v>
                </c:pt>
                <c:pt idx="5">
                  <c:v>1273.8948014735979</c:v>
                </c:pt>
                <c:pt idx="6">
                  <c:v>33.770000000000003</c:v>
                </c:pt>
                <c:pt idx="7">
                  <c:v>1364.2</c:v>
                </c:pt>
                <c:pt idx="8">
                  <c:v>1227</c:v>
                </c:pt>
              </c:numCache>
            </c:numRef>
          </c:val>
        </c:ser>
        <c:dLbls>
          <c:showCatName val="1"/>
          <c:showPercent val="1"/>
        </c:dLbls>
        <c:firstSliceAng val="0"/>
      </c:pieChart>
    </c:plotArea>
    <c:plotVisOnly val="1"/>
    <c:dispBlanksAs val="zero"/>
  </c:chart>
  <c:userShapes r:id="rId1"/>
</c:chartSpace>
</file>

<file path=xl/charts/chart13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p>
          <a:p>
            <a:pPr>
              <a:defRPr/>
            </a:pPr>
            <a:r>
              <a:rPr lang="en-US" sz="1800" b="1" i="0" baseline="0"/>
              <a:t>PERCENTAGE CHANGE IN EXPENDITURES FROM 2005 TO 2013</a:t>
            </a:r>
          </a:p>
          <a:p>
            <a:pPr>
              <a:defRPr/>
            </a:pPr>
            <a:r>
              <a:rPr lang="en-US" sz="1800" b="1" i="0" baseline="0"/>
              <a:t>QUEBEC</a:t>
            </a:r>
            <a:endParaRPr lang="en-CA"/>
          </a:p>
        </c:rich>
      </c:tx>
    </c:title>
    <c:plotArea>
      <c:layout>
        <c:manualLayout>
          <c:layoutTarget val="inner"/>
          <c:xMode val="edge"/>
          <c:yMode val="edge"/>
          <c:x val="5.1361044142246771E-2"/>
          <c:y val="0.17357613709806091"/>
          <c:w val="0.93545662309000344"/>
          <c:h val="0.65412077105266997"/>
        </c:manualLayout>
      </c:layout>
      <c:barChart>
        <c:barDir val="col"/>
        <c:grouping val="clustered"/>
        <c:ser>
          <c:idx val="1"/>
          <c:order val="0"/>
          <c:spPr>
            <a:solidFill>
              <a:srgbClr val="F79646">
                <a:lumMod val="75000"/>
              </a:srgbClr>
            </a:solidFill>
          </c:spPr>
          <c:dLbls>
            <c:dLbl>
              <c:idx val="1"/>
              <c:layout>
                <c:manualLayout>
                  <c:x val="0"/>
                  <c:y val="6.0530418044355931E-3"/>
                </c:manualLayout>
              </c:layout>
              <c:showVal val="1"/>
            </c:dLbl>
            <c:dLbl>
              <c:idx val="2"/>
              <c:layout>
                <c:manualLayout>
                  <c:x val="0"/>
                  <c:y val="-1.2106083608871223E-2"/>
                </c:manualLayout>
              </c:layout>
              <c:showVal val="1"/>
            </c:dLbl>
            <c:txPr>
              <a:bodyPr/>
              <a:lstStyle/>
              <a:p>
                <a:pPr>
                  <a:defRPr sz="1200" b="1"/>
                </a:pPr>
                <a:endParaRPr lang="en-US"/>
              </a:p>
            </c:txPr>
            <c:showVal val="1"/>
          </c:dLbls>
          <c:cat>
            <c:strRef>
              <c:f>(QUE!$A$265,QUE!$A$267:$A$271,QUE!$A$273:$A$274)</c:f>
              <c:strCache>
                <c:ptCount val="8"/>
                <c:pt idx="0">
                  <c:v>Disability Tax Measures</c:v>
                </c:pt>
                <c:pt idx="1">
                  <c:v>QPP-D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(QUE!$M$265,QUE!$M$267:$M$271,QUE!$M$273:$M$274)</c:f>
              <c:numCache>
                <c:formatCode>0.0%</c:formatCode>
                <c:ptCount val="8"/>
                <c:pt idx="0">
                  <c:v>0.45580938161005374</c:v>
                </c:pt>
                <c:pt idx="1">
                  <c:v>0.17156862745098039</c:v>
                </c:pt>
                <c:pt idx="2">
                  <c:v>0.47978766843609622</c:v>
                </c:pt>
                <c:pt idx="3">
                  <c:v>0.29168139507482049</c:v>
                </c:pt>
                <c:pt idx="4">
                  <c:v>0.142217566364089</c:v>
                </c:pt>
                <c:pt idx="5">
                  <c:v>0.35046904315196964</c:v>
                </c:pt>
                <c:pt idx="6">
                  <c:v>0.14953956482764241</c:v>
                </c:pt>
                <c:pt idx="7">
                  <c:v>0.35354477611940299</c:v>
                </c:pt>
              </c:numCache>
            </c:numRef>
          </c:val>
        </c:ser>
        <c:dLbls/>
        <c:gapWidth val="50"/>
        <c:axId val="90815872"/>
        <c:axId val="90817664"/>
      </c:barChart>
      <c:catAx>
        <c:axId val="90815872"/>
        <c:scaling>
          <c:orientation val="minMax"/>
        </c:scaling>
        <c:axPos val="b"/>
        <c:majorTickMark val="none"/>
        <c:tickLblPos val="nextTo"/>
        <c:txPr>
          <a:bodyPr/>
          <a:lstStyle/>
          <a:p>
            <a:pPr>
              <a:defRPr sz="1200" b="1"/>
            </a:pPr>
            <a:endParaRPr lang="en-US"/>
          </a:p>
        </c:txPr>
        <c:crossAx val="90817664"/>
        <c:crosses val="autoZero"/>
        <c:auto val="1"/>
        <c:lblAlgn val="ctr"/>
        <c:lblOffset val="100"/>
      </c:catAx>
      <c:valAx>
        <c:axId val="90817664"/>
        <c:scaling>
          <c:orientation val="minMax"/>
        </c:scaling>
        <c:axPos val="l"/>
        <c:majorGridlines/>
        <c:numFmt formatCode="0%" sourceLinked="0"/>
        <c:majorTickMark val="none"/>
        <c:tickLblPos val="nextTo"/>
        <c:crossAx val="90815872"/>
        <c:crosses val="autoZero"/>
        <c:crossBetween val="between"/>
      </c:valAx>
    </c:plotArea>
    <c:plotVisOnly val="1"/>
    <c:dispBlanksAs val="gap"/>
  </c:chart>
</c:chartSpace>
</file>

<file path=xl/charts/chart13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2010-11 </a:t>
            </a:r>
          </a:p>
          <a:p>
            <a:pPr>
              <a:defRPr lang="en-US"/>
            </a:pPr>
            <a:r>
              <a:rPr lang="en-US" sz="1800" b="1" i="0" baseline="0"/>
              <a:t>Quebec</a:t>
            </a:r>
            <a:endParaRPr lang="en-US"/>
          </a:p>
        </c:rich>
      </c:tx>
    </c:title>
    <c:plotArea>
      <c:layout/>
      <c:barChart>
        <c:barDir val="col"/>
        <c:grouping val="clustered"/>
        <c:ser>
          <c:idx val="5"/>
          <c:order val="0"/>
          <c:spPr>
            <a:solidFill>
              <a:schemeClr val="accent3"/>
            </a:solidFill>
          </c:spPr>
          <c:dLbls>
            <c:txPr>
              <a:bodyPr/>
              <a:lstStyle/>
              <a:p>
                <a:pPr>
                  <a:defRPr lang="en-US" sz="1200" b="1" i="0" baseline="0"/>
                </a:pPr>
                <a:endParaRPr lang="en-US"/>
              </a:p>
            </c:txPr>
            <c:showVal val="1"/>
          </c:dLbls>
          <c:cat>
            <c:strRef>
              <c:f>QUE!$A$265:$A$274</c:f>
              <c:strCache>
                <c:ptCount val="10"/>
                <c:pt idx="0">
                  <c:v>Disability Tax Measures</c:v>
                </c:pt>
                <c:pt idx="1">
                  <c:v>CPP-D</c:v>
                </c:pt>
                <c:pt idx="2">
                  <c:v>QPP-D</c:v>
                </c:pt>
                <c:pt idx="3">
                  <c:v>EI Sickness</c:v>
                </c:pt>
                <c:pt idx="4">
                  <c:v>Veterans' Disability Pensions &amp; Awards</c:v>
                </c:pt>
                <c:pt idx="5">
                  <c:v>Income Asst. for the Disabled</c:v>
                </c:pt>
                <c:pt idx="6">
                  <c:v>First Nations SA for Disabled </c:v>
                </c:pt>
                <c:pt idx="7">
                  <c:v>Income Asst. for the Disabled &amp; FN SA</c:v>
                </c:pt>
                <c:pt idx="8">
                  <c:v>Workers' Compensation </c:v>
                </c:pt>
                <c:pt idx="9">
                  <c:v>Private Disability Insurance</c:v>
                </c:pt>
              </c:strCache>
            </c:strRef>
          </c:cat>
          <c:val>
            <c:numRef>
              <c:f>QUE!$G$265:$G$274</c:f>
              <c:numCache>
                <c:formatCode>0.0%</c:formatCode>
                <c:ptCount val="10"/>
                <c:pt idx="0">
                  <c:v>0.25913251213139238</c:v>
                </c:pt>
                <c:pt idx="1">
                  <c:v>0.15999999999999989</c:v>
                </c:pt>
                <c:pt idx="2">
                  <c:v>0.15808823529411772</c:v>
                </c:pt>
                <c:pt idx="3">
                  <c:v>0.21069824418129846</c:v>
                </c:pt>
                <c:pt idx="4">
                  <c:v>0.25780605632143277</c:v>
                </c:pt>
                <c:pt idx="5">
                  <c:v>0.10447225008811654</c:v>
                </c:pt>
                <c:pt idx="6">
                  <c:v>0.15384615384615388</c:v>
                </c:pt>
                <c:pt idx="7">
                  <c:v>0.10566886937600195</c:v>
                </c:pt>
                <c:pt idx="8">
                  <c:v>0.10048080841007269</c:v>
                </c:pt>
                <c:pt idx="9">
                  <c:v>0.16791044776119404</c:v>
                </c:pt>
              </c:numCache>
            </c:numRef>
          </c:val>
        </c:ser>
        <c:dLbls/>
        <c:gapWidth val="50"/>
        <c:axId val="90846336"/>
        <c:axId val="90847872"/>
      </c:barChart>
      <c:catAx>
        <c:axId val="90846336"/>
        <c:scaling>
          <c:orientation val="minMax"/>
        </c:scaling>
        <c:axPos val="b"/>
        <c:majorTickMark val="none"/>
        <c:tickLblPos val="nextTo"/>
        <c:txPr>
          <a:bodyPr/>
          <a:lstStyle/>
          <a:p>
            <a:pPr>
              <a:defRPr lang="en-US" b="1" i="0" baseline="0"/>
            </a:pPr>
            <a:endParaRPr lang="en-US"/>
          </a:p>
        </c:txPr>
        <c:crossAx val="90847872"/>
        <c:crosses val="autoZero"/>
        <c:auto val="1"/>
        <c:lblAlgn val="ctr"/>
        <c:lblOffset val="100"/>
      </c:catAx>
      <c:valAx>
        <c:axId val="90847872"/>
        <c:scaling>
          <c:orientation val="minMax"/>
        </c:scaling>
        <c:axPos val="l"/>
        <c:majorGridlines/>
        <c:numFmt formatCode="0%" sourceLinked="0"/>
        <c:majorTickMark val="none"/>
        <c:tickLblPos val="nextTo"/>
        <c:txPr>
          <a:bodyPr/>
          <a:lstStyle/>
          <a:p>
            <a:pPr>
              <a:defRPr lang="en-US"/>
            </a:pPr>
            <a:endParaRPr lang="en-US"/>
          </a:p>
        </c:txPr>
        <c:crossAx val="90846336"/>
        <c:crosses val="autoZero"/>
        <c:crossBetween val="between"/>
      </c:valAx>
    </c:plotArea>
    <c:plotVisOnly val="1"/>
    <c:dispBlanksAs val="gap"/>
  </c:chart>
</c:chartSpace>
</file>

<file path=xl/charts/chart1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a:t>INCOME SUPPORT FOR THE DISABLED:</a:t>
            </a:r>
          </a:p>
          <a:p>
            <a:pPr>
              <a:defRPr lang="en-US"/>
            </a:pPr>
            <a:r>
              <a:rPr lang="en-US"/>
              <a:t>PERCENTAGE INCREASE FROM</a:t>
            </a:r>
            <a:r>
              <a:rPr lang="en-US" baseline="0"/>
              <a:t> 2005-06 TO 2009-10</a:t>
            </a:r>
          </a:p>
          <a:p>
            <a:pPr>
              <a:defRPr lang="en-US"/>
            </a:pPr>
            <a:r>
              <a:rPr lang="en-US" baseline="0"/>
              <a:t>CANADA</a:t>
            </a:r>
            <a:endParaRPr lang="en-US"/>
          </a:p>
        </c:rich>
      </c:tx>
      <c:layout>
        <c:manualLayout>
          <c:xMode val="edge"/>
          <c:yMode val="edge"/>
          <c:x val="0.21636197270925592"/>
          <c:y val="3.0249633312515886E-2"/>
        </c:manualLayout>
      </c:layout>
      <c:overlay val="1"/>
    </c:title>
    <c:plotArea>
      <c:layout>
        <c:manualLayout>
          <c:layoutTarget val="inner"/>
          <c:xMode val="edge"/>
          <c:yMode val="edge"/>
          <c:x val="8.3689570812279207E-2"/>
          <c:y val="0.20787055761110138"/>
          <c:w val="0.88354357502683456"/>
          <c:h val="0.72502400518802279"/>
        </c:manualLayout>
      </c:layout>
      <c:barChart>
        <c:barDir val="col"/>
        <c:grouping val="clustered"/>
        <c:ser>
          <c:idx val="24"/>
          <c:order val="0"/>
          <c:tx>
            <c:strRef>
              <c:f>'CAN input to 09-10 charts'!$A$28</c:f>
              <c:strCache>
                <c:ptCount val="1"/>
                <c:pt idx="0">
                  <c:v>SA for the Disabled</c:v>
                </c:pt>
              </c:strCache>
            </c:strRef>
          </c:tx>
          <c:spPr>
            <a:solidFill>
              <a:schemeClr val="accent1"/>
            </a:solidFill>
          </c:spPr>
          <c:dLbls>
            <c:dLbl>
              <c:idx val="0"/>
              <c:layout>
                <c:manualLayout>
                  <c:x val="2.6841671427386869E-17"/>
                  <c:y val="-1.6133137766675163E-2"/>
                </c:manualLayout>
              </c:layout>
              <c:showVal val="1"/>
            </c:dLbl>
            <c:txPr>
              <a:bodyPr/>
              <a:lstStyle/>
              <a:p>
                <a:pPr>
                  <a:defRPr lang="en-US" sz="1400" b="1" i="0" baseline="0"/>
                </a:pPr>
                <a:endParaRPr lang="en-US"/>
              </a:p>
            </c:txPr>
            <c:showVal val="1"/>
          </c:dLbls>
          <c:cat>
            <c:strRef>
              <c:f>'CAN input to 09-10 charts'!$F$1:$F$43</c:f>
              <c:strCache>
                <c:ptCount val="43"/>
                <c:pt idx="2">
                  <c:v>% change</c:v>
                </c:pt>
                <c:pt idx="12">
                  <c:v>19.8%</c:v>
                </c:pt>
                <c:pt idx="15">
                  <c:v>12.3%</c:v>
                </c:pt>
                <c:pt idx="16">
                  <c:v>14.8%</c:v>
                </c:pt>
                <c:pt idx="17">
                  <c:v>25.1%</c:v>
                </c:pt>
                <c:pt idx="21">
                  <c:v>22.6%</c:v>
                </c:pt>
                <c:pt idx="25">
                  <c:v>24.2%</c:v>
                </c:pt>
                <c:pt idx="26">
                  <c:v>17.7%</c:v>
                </c:pt>
                <c:pt idx="27">
                  <c:v>23.7%</c:v>
                </c:pt>
                <c:pt idx="30">
                  <c:v>11.7%</c:v>
                </c:pt>
                <c:pt idx="33">
                  <c:v>13.1%</c:v>
                </c:pt>
                <c:pt idx="38">
                  <c:v>23.4%</c:v>
                </c:pt>
                <c:pt idx="40">
                  <c:v>19.4%</c:v>
                </c:pt>
                <c:pt idx="42">
                  <c:v>17.9%</c:v>
                </c:pt>
              </c:strCache>
            </c:strRef>
          </c:cat>
          <c:val>
            <c:numRef>
              <c:f>'CAN input to 09-10 charts'!$F$28</c:f>
              <c:numCache>
                <c:formatCode>0.0%</c:formatCode>
                <c:ptCount val="1"/>
                <c:pt idx="0">
                  <c:v>0.23748247933190636</c:v>
                </c:pt>
              </c:numCache>
            </c:numRef>
          </c:val>
        </c:ser>
        <c:ser>
          <c:idx val="36"/>
          <c:order val="1"/>
          <c:tx>
            <c:strRef>
              <c:f>'CAN input to 09-10 charts'!$A$41</c:f>
              <c:strCache>
                <c:ptCount val="1"/>
                <c:pt idx="0">
                  <c:v>Total income support for the disabled</c:v>
                </c:pt>
              </c:strCache>
            </c:strRef>
          </c:tx>
          <c:spPr>
            <a:solidFill>
              <a:schemeClr val="accent1"/>
            </a:solidFill>
          </c:spPr>
          <c:dLbls>
            <c:dLbl>
              <c:idx val="0"/>
              <c:layout>
                <c:manualLayout>
                  <c:x val="5.3683342854774779E-17"/>
                  <c:y val="-4.033284441668783E-3"/>
                </c:manualLayout>
              </c:layout>
              <c:showVal val="1"/>
            </c:dLbl>
            <c:txPr>
              <a:bodyPr/>
              <a:lstStyle/>
              <a:p>
                <a:pPr>
                  <a:defRPr lang="en-US" sz="1400" b="1" i="0" baseline="0"/>
                </a:pPr>
                <a:endParaRPr lang="en-US"/>
              </a:p>
            </c:txPr>
            <c:showVal val="1"/>
          </c:dLbls>
          <c:cat>
            <c:strRef>
              <c:f>'CAN input to 09-10 charts'!$F$1:$F$43</c:f>
              <c:strCache>
                <c:ptCount val="43"/>
                <c:pt idx="2">
                  <c:v>% change</c:v>
                </c:pt>
                <c:pt idx="12">
                  <c:v>19.8%</c:v>
                </c:pt>
                <c:pt idx="15">
                  <c:v>12.3%</c:v>
                </c:pt>
                <c:pt idx="16">
                  <c:v>14.8%</c:v>
                </c:pt>
                <c:pt idx="17">
                  <c:v>25.1%</c:v>
                </c:pt>
                <c:pt idx="21">
                  <c:v>22.6%</c:v>
                </c:pt>
                <c:pt idx="25">
                  <c:v>24.2%</c:v>
                </c:pt>
                <c:pt idx="26">
                  <c:v>17.7%</c:v>
                </c:pt>
                <c:pt idx="27">
                  <c:v>23.7%</c:v>
                </c:pt>
                <c:pt idx="30">
                  <c:v>11.7%</c:v>
                </c:pt>
                <c:pt idx="33">
                  <c:v>13.1%</c:v>
                </c:pt>
                <c:pt idx="38">
                  <c:v>23.4%</c:v>
                </c:pt>
                <c:pt idx="40">
                  <c:v>19.4%</c:v>
                </c:pt>
                <c:pt idx="42">
                  <c:v>17.9%</c:v>
                </c:pt>
              </c:strCache>
            </c:strRef>
          </c:cat>
          <c:val>
            <c:numRef>
              <c:f>'CAN input to 09-10 charts'!$F$41</c:f>
              <c:numCache>
                <c:formatCode>0.0%</c:formatCode>
                <c:ptCount val="1"/>
                <c:pt idx="0">
                  <c:v>0.19366968412404487</c:v>
                </c:pt>
              </c:numCache>
            </c:numRef>
          </c:val>
        </c:ser>
        <c:ser>
          <c:idx val="38"/>
          <c:order val="2"/>
          <c:tx>
            <c:strRef>
              <c:f>'CAN input to 09-10 charts'!$A$43</c:f>
              <c:strCache>
                <c:ptCount val="1"/>
                <c:pt idx="0">
                  <c:v>Total income support for the disabled excluding SA</c:v>
                </c:pt>
              </c:strCache>
            </c:strRef>
          </c:tx>
          <c:spPr>
            <a:solidFill>
              <a:schemeClr val="accent1"/>
            </a:solidFill>
          </c:spPr>
          <c:dLbls>
            <c:txPr>
              <a:bodyPr/>
              <a:lstStyle/>
              <a:p>
                <a:pPr>
                  <a:defRPr lang="en-US" sz="1400" b="1" i="0" baseline="0"/>
                </a:pPr>
                <a:endParaRPr lang="en-US"/>
              </a:p>
            </c:txPr>
            <c:showVal val="1"/>
          </c:dLbls>
          <c:cat>
            <c:strRef>
              <c:f>'CAN input to 09-10 charts'!$F$1:$F$43</c:f>
              <c:strCache>
                <c:ptCount val="43"/>
                <c:pt idx="2">
                  <c:v>% change</c:v>
                </c:pt>
                <c:pt idx="12">
                  <c:v>19.8%</c:v>
                </c:pt>
                <c:pt idx="15">
                  <c:v>12.3%</c:v>
                </c:pt>
                <c:pt idx="16">
                  <c:v>14.8%</c:v>
                </c:pt>
                <c:pt idx="17">
                  <c:v>25.1%</c:v>
                </c:pt>
                <c:pt idx="21">
                  <c:v>22.6%</c:v>
                </c:pt>
                <c:pt idx="25">
                  <c:v>24.2%</c:v>
                </c:pt>
                <c:pt idx="26">
                  <c:v>17.7%</c:v>
                </c:pt>
                <c:pt idx="27">
                  <c:v>23.7%</c:v>
                </c:pt>
                <c:pt idx="30">
                  <c:v>11.7%</c:v>
                </c:pt>
                <c:pt idx="33">
                  <c:v>13.1%</c:v>
                </c:pt>
                <c:pt idx="38">
                  <c:v>23.4%</c:v>
                </c:pt>
                <c:pt idx="40">
                  <c:v>19.4%</c:v>
                </c:pt>
                <c:pt idx="42">
                  <c:v>17.9%</c:v>
                </c:pt>
              </c:strCache>
            </c:strRef>
          </c:cat>
          <c:val>
            <c:numRef>
              <c:f>'CAN input to 09-10 charts'!$F$43</c:f>
              <c:numCache>
                <c:formatCode>0.0%</c:formatCode>
                <c:ptCount val="1"/>
                <c:pt idx="0">
                  <c:v>0.1785747333842275</c:v>
                </c:pt>
              </c:numCache>
            </c:numRef>
          </c:val>
        </c:ser>
        <c:dLbls/>
        <c:gapWidth val="50"/>
        <c:overlap val="-24"/>
        <c:axId val="48840704"/>
        <c:axId val="48842240"/>
      </c:barChart>
      <c:catAx>
        <c:axId val="48840704"/>
        <c:scaling>
          <c:orientation val="minMax"/>
        </c:scaling>
        <c:axPos val="b"/>
        <c:majorTickMark val="none"/>
        <c:tickLblPos val="nextTo"/>
        <c:txPr>
          <a:bodyPr/>
          <a:lstStyle/>
          <a:p>
            <a:pPr>
              <a:defRPr lang="en-US"/>
            </a:pPr>
            <a:endParaRPr lang="en-US"/>
          </a:p>
        </c:txPr>
        <c:crossAx val="48842240"/>
        <c:crosses val="autoZero"/>
        <c:auto val="1"/>
        <c:lblAlgn val="ctr"/>
        <c:lblOffset val="100"/>
      </c:catAx>
      <c:valAx>
        <c:axId val="48842240"/>
        <c:scaling>
          <c:orientation val="minMax"/>
          <c:max val="0.35000000000000031"/>
          <c:min val="0"/>
        </c:scaling>
        <c:axPos val="l"/>
        <c:majorGridlines/>
        <c:numFmt formatCode="0%" sourceLinked="0"/>
        <c:majorTickMark val="none"/>
        <c:tickLblPos val="nextTo"/>
        <c:txPr>
          <a:bodyPr/>
          <a:lstStyle/>
          <a:p>
            <a:pPr>
              <a:defRPr lang="en-US"/>
            </a:pPr>
            <a:endParaRPr lang="en-US"/>
          </a:p>
        </c:txPr>
        <c:crossAx val="48840704"/>
        <c:crosses val="autoZero"/>
        <c:crossBetween val="between"/>
        <c:majorUnit val="0.05"/>
      </c:valAx>
    </c:plotArea>
    <c:plotVisOnly val="1"/>
    <c:dispBlanksAs val="gap"/>
  </c:chart>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2009-10 </a:t>
            </a:r>
            <a:endParaRPr lang="en-US"/>
          </a:p>
          <a:p>
            <a:pPr>
              <a:defRPr lang="en-US"/>
            </a:pPr>
            <a:r>
              <a:rPr lang="en-US" sz="1800" b="1" i="0" baseline="0"/>
              <a:t>Quebec</a:t>
            </a:r>
            <a:endParaRPr lang="en-US"/>
          </a:p>
        </c:rich>
      </c:tx>
      <c:layout>
        <c:manualLayout>
          <c:xMode val="edge"/>
          <c:yMode val="edge"/>
          <c:x val="0.16561980472867216"/>
          <c:y val="8.0628751895490246E-3"/>
        </c:manualLayout>
      </c:layout>
    </c:title>
    <c:plotArea>
      <c:layout/>
      <c:barChart>
        <c:barDir val="col"/>
        <c:grouping val="clustered"/>
        <c:ser>
          <c:idx val="3"/>
          <c:order val="0"/>
          <c:spPr>
            <a:solidFill>
              <a:srgbClr val="4F81BD"/>
            </a:solidFill>
          </c:spPr>
          <c:dLbls>
            <c:dLbl>
              <c:idx val="0"/>
              <c:layout>
                <c:manualLayout>
                  <c:x val="0"/>
                  <c:y val="4.0314375947746199E-3"/>
                </c:manualLayout>
              </c:layout>
              <c:showVal val="1"/>
            </c:dLbl>
            <c:dLbl>
              <c:idx val="1"/>
              <c:layout>
                <c:manualLayout>
                  <c:x val="0"/>
                  <c:y val="-8.0628751895490246E-3"/>
                </c:manualLayout>
              </c:layout>
              <c:showVal val="1"/>
            </c:dLbl>
            <c:dLbl>
              <c:idx val="8"/>
              <c:layout>
                <c:manualLayout>
                  <c:x val="0"/>
                  <c:y val="-4.0314375947746199E-3"/>
                </c:manualLayout>
              </c:layout>
              <c:showVal val="1"/>
            </c:dLbl>
            <c:dLbl>
              <c:idx val="9"/>
              <c:layout>
                <c:manualLayout>
                  <c:x val="1.4635784469980641E-3"/>
                  <c:y val="-6.0471563921617524E-3"/>
                </c:manualLayout>
              </c:layout>
              <c:showVal val="1"/>
            </c:dLbl>
            <c:txPr>
              <a:bodyPr/>
              <a:lstStyle/>
              <a:p>
                <a:pPr>
                  <a:defRPr lang="en-US" sz="1200" b="1" i="0" baseline="0"/>
                </a:pPr>
                <a:endParaRPr lang="en-US"/>
              </a:p>
            </c:txPr>
            <c:showVal val="1"/>
          </c:dLbls>
          <c:cat>
            <c:strRef>
              <c:f>QUE!$A$265:$A$274</c:f>
              <c:strCache>
                <c:ptCount val="10"/>
                <c:pt idx="0">
                  <c:v>Disability Tax Measures</c:v>
                </c:pt>
                <c:pt idx="1">
                  <c:v>CPP-D</c:v>
                </c:pt>
                <c:pt idx="2">
                  <c:v>QPP-D</c:v>
                </c:pt>
                <c:pt idx="3">
                  <c:v>EI Sickness</c:v>
                </c:pt>
                <c:pt idx="4">
                  <c:v>Veterans' Disability Pensions &amp; Awards</c:v>
                </c:pt>
                <c:pt idx="5">
                  <c:v>Income Asst. for the Disabled</c:v>
                </c:pt>
                <c:pt idx="6">
                  <c:v>First Nations SA for Disabled </c:v>
                </c:pt>
                <c:pt idx="7">
                  <c:v>Income Asst. for the Disabled &amp; FN SA</c:v>
                </c:pt>
                <c:pt idx="8">
                  <c:v>Workers' Compensation </c:v>
                </c:pt>
                <c:pt idx="9">
                  <c:v>Private Disability Insurance</c:v>
                </c:pt>
              </c:strCache>
            </c:strRef>
          </c:cat>
          <c:val>
            <c:numRef>
              <c:f>QUE!$E$265:$E$274</c:f>
              <c:numCache>
                <c:formatCode>0.0%</c:formatCode>
                <c:ptCount val="10"/>
                <c:pt idx="0">
                  <c:v>0.1826601965907681</c:v>
                </c:pt>
                <c:pt idx="1">
                  <c:v>9.333333333333324E-2</c:v>
                </c:pt>
                <c:pt idx="2">
                  <c:v>0.14797794117647065</c:v>
                </c:pt>
                <c:pt idx="3">
                  <c:v>0.22008983258472847</c:v>
                </c:pt>
                <c:pt idx="4">
                  <c:v>0.17613015985232314</c:v>
                </c:pt>
                <c:pt idx="5">
                  <c:v>7.9337704255346142E-2</c:v>
                </c:pt>
                <c:pt idx="6">
                  <c:v>0.15196998123827399</c:v>
                </c:pt>
                <c:pt idx="7">
                  <c:v>8.1098010347137733E-2</c:v>
                </c:pt>
                <c:pt idx="8">
                  <c:v>0.11172683562871824</c:v>
                </c:pt>
                <c:pt idx="9">
                  <c:v>0.14458955223880596</c:v>
                </c:pt>
              </c:numCache>
            </c:numRef>
          </c:val>
        </c:ser>
        <c:dLbls/>
        <c:gapWidth val="50"/>
        <c:axId val="90991232"/>
        <c:axId val="90997120"/>
      </c:barChart>
      <c:catAx>
        <c:axId val="90991232"/>
        <c:scaling>
          <c:orientation val="minMax"/>
        </c:scaling>
        <c:axPos val="b"/>
        <c:majorTickMark val="none"/>
        <c:tickLblPos val="nextTo"/>
        <c:txPr>
          <a:bodyPr/>
          <a:lstStyle/>
          <a:p>
            <a:pPr>
              <a:defRPr lang="en-US" sz="1000" b="1"/>
            </a:pPr>
            <a:endParaRPr lang="en-US"/>
          </a:p>
        </c:txPr>
        <c:crossAx val="90997120"/>
        <c:crosses val="autoZero"/>
        <c:auto val="1"/>
        <c:lblAlgn val="ctr"/>
        <c:lblOffset val="100"/>
      </c:catAx>
      <c:valAx>
        <c:axId val="90997120"/>
        <c:scaling>
          <c:orientation val="minMax"/>
        </c:scaling>
        <c:axPos val="l"/>
        <c:majorGridlines/>
        <c:numFmt formatCode="0%" sourceLinked="0"/>
        <c:majorTickMark val="none"/>
        <c:tickLblPos val="nextTo"/>
        <c:txPr>
          <a:bodyPr/>
          <a:lstStyle/>
          <a:p>
            <a:pPr>
              <a:defRPr lang="en-US"/>
            </a:pPr>
            <a:endParaRPr lang="en-US"/>
          </a:p>
        </c:txPr>
        <c:crossAx val="90991232"/>
        <c:crosses val="autoZero"/>
        <c:crossBetween val="between"/>
      </c:valAx>
    </c:plotArea>
    <c:plotVisOnly val="1"/>
    <c:dispBlanksAs val="gap"/>
  </c:chart>
</c:chartSpace>
</file>

<file path=xl/charts/chart14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endParaRPr lang="en-CA"/>
          </a:p>
          <a:p>
            <a:pPr>
              <a:defRPr/>
            </a:pPr>
            <a:r>
              <a:rPr lang="en-US" sz="1800" b="1" i="0" baseline="0"/>
              <a:t>Percentage Change in Expenditures from 2005-06 to </a:t>
            </a:r>
            <a:endParaRPr lang="en-CA"/>
          </a:p>
          <a:p>
            <a:pPr>
              <a:defRPr/>
            </a:pPr>
            <a:r>
              <a:rPr lang="en-US" sz="1800" b="1" i="0" baseline="0"/>
              <a:t>2009-10, 2010-11 and 2011-12</a:t>
            </a:r>
          </a:p>
          <a:p>
            <a:pPr>
              <a:defRPr/>
            </a:pPr>
            <a:r>
              <a:rPr lang="en-US" sz="1800" b="1" i="0" baseline="0"/>
              <a:t>Quebec</a:t>
            </a:r>
            <a:endParaRPr lang="en-CA"/>
          </a:p>
        </c:rich>
      </c:tx>
    </c:title>
    <c:plotArea>
      <c:layout/>
      <c:barChart>
        <c:barDir val="col"/>
        <c:grouping val="clustered"/>
        <c:ser>
          <c:idx val="0"/>
          <c:order val="0"/>
          <c:tx>
            <c:strRef>
              <c:f>QUE!$E$264</c:f>
              <c:strCache>
                <c:ptCount val="1"/>
                <c:pt idx="0">
                  <c:v>% change since 2005-06</c:v>
                </c:pt>
              </c:strCache>
            </c:strRef>
          </c:tx>
          <c:cat>
            <c:strRef>
              <c:f>(QUE!$A$265:$A$271,QUE!$A$272,QUE!$A$273:$A$274)</c:f>
              <c:strCache>
                <c:ptCount val="10"/>
                <c:pt idx="0">
                  <c:v>Disability Tax Measures</c:v>
                </c:pt>
                <c:pt idx="1">
                  <c:v>CPP-D</c:v>
                </c:pt>
                <c:pt idx="2">
                  <c:v>QPP-D</c:v>
                </c:pt>
                <c:pt idx="3">
                  <c:v>EI Sickness</c:v>
                </c:pt>
                <c:pt idx="4">
                  <c:v>Veterans' Disability Pensions &amp; Awards</c:v>
                </c:pt>
                <c:pt idx="5">
                  <c:v>Income Asst. for the Disabled</c:v>
                </c:pt>
                <c:pt idx="6">
                  <c:v>First Nations SA for Disabled </c:v>
                </c:pt>
                <c:pt idx="7">
                  <c:v>Income Asst. for the Disabled &amp; FN SA</c:v>
                </c:pt>
                <c:pt idx="8">
                  <c:v>Workers' Compensation </c:v>
                </c:pt>
                <c:pt idx="9">
                  <c:v>Private Disability Insurance</c:v>
                </c:pt>
              </c:strCache>
            </c:strRef>
          </c:cat>
          <c:val>
            <c:numRef>
              <c:f>(QUE!$E$265:$E$271,QUE!$E$272,QUE!$E$273:$E$274)</c:f>
              <c:numCache>
                <c:formatCode>0.0%</c:formatCode>
                <c:ptCount val="10"/>
                <c:pt idx="0">
                  <c:v>0.1826601965907681</c:v>
                </c:pt>
                <c:pt idx="1">
                  <c:v>9.333333333333324E-2</c:v>
                </c:pt>
                <c:pt idx="2">
                  <c:v>0.14797794117647065</c:v>
                </c:pt>
                <c:pt idx="3">
                  <c:v>0.22008983258472847</c:v>
                </c:pt>
                <c:pt idx="4">
                  <c:v>0.17613015985232314</c:v>
                </c:pt>
                <c:pt idx="5">
                  <c:v>7.9337704255346142E-2</c:v>
                </c:pt>
                <c:pt idx="6">
                  <c:v>0.15196998123827399</c:v>
                </c:pt>
                <c:pt idx="7">
                  <c:v>8.1098010347137733E-2</c:v>
                </c:pt>
                <c:pt idx="8">
                  <c:v>0.11172683562871824</c:v>
                </c:pt>
                <c:pt idx="9">
                  <c:v>0.14458955223880596</c:v>
                </c:pt>
              </c:numCache>
            </c:numRef>
          </c:val>
        </c:ser>
        <c:ser>
          <c:idx val="1"/>
          <c:order val="1"/>
          <c:tx>
            <c:strRef>
              <c:f>QUE!$G$264</c:f>
              <c:strCache>
                <c:ptCount val="1"/>
                <c:pt idx="0">
                  <c:v>% change since 2005-06</c:v>
                </c:pt>
              </c:strCache>
            </c:strRef>
          </c:tx>
          <c:spPr>
            <a:solidFill>
              <a:schemeClr val="accent3"/>
            </a:solidFill>
          </c:spPr>
          <c:cat>
            <c:strRef>
              <c:f>(QUE!$A$265:$A$271,QUE!$A$272,QUE!$A$273:$A$274)</c:f>
              <c:strCache>
                <c:ptCount val="10"/>
                <c:pt idx="0">
                  <c:v>Disability Tax Measures</c:v>
                </c:pt>
                <c:pt idx="1">
                  <c:v>CPP-D</c:v>
                </c:pt>
                <c:pt idx="2">
                  <c:v>QPP-D</c:v>
                </c:pt>
                <c:pt idx="3">
                  <c:v>EI Sickness</c:v>
                </c:pt>
                <c:pt idx="4">
                  <c:v>Veterans' Disability Pensions &amp; Awards</c:v>
                </c:pt>
                <c:pt idx="5">
                  <c:v>Income Asst. for the Disabled</c:v>
                </c:pt>
                <c:pt idx="6">
                  <c:v>First Nations SA for Disabled </c:v>
                </c:pt>
                <c:pt idx="7">
                  <c:v>Income Asst. for the Disabled &amp; FN SA</c:v>
                </c:pt>
                <c:pt idx="8">
                  <c:v>Workers' Compensation </c:v>
                </c:pt>
                <c:pt idx="9">
                  <c:v>Private Disability Insurance</c:v>
                </c:pt>
              </c:strCache>
            </c:strRef>
          </c:cat>
          <c:val>
            <c:numRef>
              <c:f>(QUE!$G$265:$G$271,QUE!$G$272,QUE!$G$273:$G$274)</c:f>
              <c:numCache>
                <c:formatCode>0.0%</c:formatCode>
                <c:ptCount val="10"/>
                <c:pt idx="0">
                  <c:v>0.25913251213139238</c:v>
                </c:pt>
                <c:pt idx="1">
                  <c:v>0.15999999999999989</c:v>
                </c:pt>
                <c:pt idx="2">
                  <c:v>0.15808823529411772</c:v>
                </c:pt>
                <c:pt idx="3">
                  <c:v>0.21069824418129846</c:v>
                </c:pt>
                <c:pt idx="4">
                  <c:v>0.25780605632143277</c:v>
                </c:pt>
                <c:pt idx="5">
                  <c:v>0.10447225008811654</c:v>
                </c:pt>
                <c:pt idx="6">
                  <c:v>0.15384615384615388</c:v>
                </c:pt>
                <c:pt idx="7">
                  <c:v>0.10566886937600195</c:v>
                </c:pt>
                <c:pt idx="8">
                  <c:v>0.10048080841007269</c:v>
                </c:pt>
                <c:pt idx="9">
                  <c:v>0.16791044776119404</c:v>
                </c:pt>
              </c:numCache>
            </c:numRef>
          </c:val>
        </c:ser>
        <c:ser>
          <c:idx val="2"/>
          <c:order val="2"/>
          <c:tx>
            <c:strRef>
              <c:f>QUE!$I$264</c:f>
              <c:strCache>
                <c:ptCount val="1"/>
                <c:pt idx="0">
                  <c:v>% change since 2005-06</c:v>
                </c:pt>
              </c:strCache>
            </c:strRef>
          </c:tx>
          <c:spPr>
            <a:solidFill>
              <a:schemeClr val="accent6">
                <a:lumMod val="75000"/>
              </a:schemeClr>
            </a:solidFill>
          </c:spPr>
          <c:cat>
            <c:strRef>
              <c:f>(QUE!$A$265:$A$271,QUE!$A$272,QUE!$A$273:$A$274)</c:f>
              <c:strCache>
                <c:ptCount val="10"/>
                <c:pt idx="0">
                  <c:v>Disability Tax Measures</c:v>
                </c:pt>
                <c:pt idx="1">
                  <c:v>CPP-D</c:v>
                </c:pt>
                <c:pt idx="2">
                  <c:v>QPP-D</c:v>
                </c:pt>
                <c:pt idx="3">
                  <c:v>EI Sickness</c:v>
                </c:pt>
                <c:pt idx="4">
                  <c:v>Veterans' Disability Pensions &amp; Awards</c:v>
                </c:pt>
                <c:pt idx="5">
                  <c:v>Income Asst. for the Disabled</c:v>
                </c:pt>
                <c:pt idx="6">
                  <c:v>First Nations SA for Disabled </c:v>
                </c:pt>
                <c:pt idx="7">
                  <c:v>Income Asst. for the Disabled &amp; FN SA</c:v>
                </c:pt>
                <c:pt idx="8">
                  <c:v>Workers' Compensation </c:v>
                </c:pt>
                <c:pt idx="9">
                  <c:v>Private Disability Insurance</c:v>
                </c:pt>
              </c:strCache>
            </c:strRef>
          </c:cat>
          <c:val>
            <c:numRef>
              <c:f>(QUE!$I$265:$I$271,QUE!$I$272,QUE!$I$273:$I$274)</c:f>
              <c:numCache>
                <c:formatCode>0.0%</c:formatCode>
                <c:ptCount val="10"/>
                <c:pt idx="0">
                  <c:v>0.33848744556426535</c:v>
                </c:pt>
                <c:pt idx="1">
                  <c:v>0.21333333333333329</c:v>
                </c:pt>
                <c:pt idx="2">
                  <c:v>0.15716911764705888</c:v>
                </c:pt>
                <c:pt idx="3">
                  <c:v>0.27807268272764391</c:v>
                </c:pt>
                <c:pt idx="4">
                  <c:v>0.28186245630572238</c:v>
                </c:pt>
                <c:pt idx="5">
                  <c:v>0.11418062178027445</c:v>
                </c:pt>
                <c:pt idx="6">
                  <c:v>0.19136960600375244</c:v>
                </c:pt>
                <c:pt idx="7">
                  <c:v>0.11605136361561207</c:v>
                </c:pt>
                <c:pt idx="8">
                  <c:v>0.11205280743215712</c:v>
                </c:pt>
                <c:pt idx="9">
                  <c:v>0.20242537313432835</c:v>
                </c:pt>
              </c:numCache>
            </c:numRef>
          </c:val>
        </c:ser>
        <c:dLbls/>
        <c:gapWidth val="75"/>
        <c:axId val="91060864"/>
        <c:axId val="91070848"/>
      </c:barChart>
      <c:catAx>
        <c:axId val="91060864"/>
        <c:scaling>
          <c:orientation val="minMax"/>
        </c:scaling>
        <c:axPos val="b"/>
        <c:majorTickMark val="none"/>
        <c:tickLblPos val="nextTo"/>
        <c:txPr>
          <a:bodyPr/>
          <a:lstStyle/>
          <a:p>
            <a:pPr>
              <a:defRPr sz="1000" b="1"/>
            </a:pPr>
            <a:endParaRPr lang="en-US"/>
          </a:p>
        </c:txPr>
        <c:crossAx val="91070848"/>
        <c:crosses val="autoZero"/>
        <c:auto val="1"/>
        <c:lblAlgn val="ctr"/>
        <c:lblOffset val="100"/>
      </c:catAx>
      <c:valAx>
        <c:axId val="91070848"/>
        <c:scaling>
          <c:orientation val="minMax"/>
        </c:scaling>
        <c:axPos val="l"/>
        <c:majorGridlines/>
        <c:numFmt formatCode="0%" sourceLinked="0"/>
        <c:majorTickMark val="none"/>
        <c:tickLblPos val="nextTo"/>
        <c:crossAx val="91060864"/>
        <c:crosses val="autoZero"/>
        <c:crossBetween val="between"/>
      </c:valAx>
    </c:plotArea>
    <c:plotVisOnly val="1"/>
    <c:dispBlanksAs val="gap"/>
  </c:chart>
  <c:userShapes r:id="rId1"/>
</c:chartSpace>
</file>

<file path=xl/charts/chart14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a:t>
            </a:r>
          </a:p>
          <a:p>
            <a:pPr>
              <a:defRPr lang="en-US"/>
            </a:pPr>
            <a:r>
              <a:rPr lang="en-US" sz="1800" b="1" i="0" baseline="0"/>
              <a:t>2009-10 and 2010-11 </a:t>
            </a:r>
            <a:endParaRPr lang="en-US"/>
          </a:p>
          <a:p>
            <a:pPr>
              <a:defRPr lang="en-US"/>
            </a:pPr>
            <a:r>
              <a:rPr lang="en-US" sz="1800" b="1" i="0" baseline="0"/>
              <a:t>Quebec</a:t>
            </a:r>
            <a:endParaRPr lang="en-US"/>
          </a:p>
        </c:rich>
      </c:tx>
    </c:title>
    <c:plotArea>
      <c:layout>
        <c:manualLayout>
          <c:layoutTarget val="inner"/>
          <c:xMode val="edge"/>
          <c:yMode val="edge"/>
          <c:x val="4.9858009842162113E-2"/>
          <c:y val="0.21568699029693394"/>
          <c:w val="0.93550620568785758"/>
          <c:h val="0.65799473754549553"/>
        </c:manualLayout>
      </c:layout>
      <c:barChart>
        <c:barDir val="col"/>
        <c:grouping val="clustered"/>
        <c:ser>
          <c:idx val="3"/>
          <c:order val="0"/>
          <c:spPr>
            <a:solidFill>
              <a:schemeClr val="accent1"/>
            </a:solidFill>
          </c:spPr>
          <c:cat>
            <c:strRef>
              <c:f>QUE!$A$265:$A$274</c:f>
              <c:strCache>
                <c:ptCount val="10"/>
                <c:pt idx="0">
                  <c:v>Disability Tax Measures</c:v>
                </c:pt>
                <c:pt idx="1">
                  <c:v>CPP-D</c:v>
                </c:pt>
                <c:pt idx="2">
                  <c:v>QPP-D</c:v>
                </c:pt>
                <c:pt idx="3">
                  <c:v>EI Sickness</c:v>
                </c:pt>
                <c:pt idx="4">
                  <c:v>Veterans' Disability Pensions &amp; Awards</c:v>
                </c:pt>
                <c:pt idx="5">
                  <c:v>Income Asst. for the Disabled</c:v>
                </c:pt>
                <c:pt idx="6">
                  <c:v>First Nations SA for Disabled </c:v>
                </c:pt>
                <c:pt idx="7">
                  <c:v>Income Asst. for the Disabled &amp; FN SA</c:v>
                </c:pt>
                <c:pt idx="8">
                  <c:v>Workers' Compensation </c:v>
                </c:pt>
                <c:pt idx="9">
                  <c:v>Private Disability Insurance</c:v>
                </c:pt>
              </c:strCache>
            </c:strRef>
          </c:cat>
          <c:val>
            <c:numRef>
              <c:f>QUE!$E$265:$E$274</c:f>
              <c:numCache>
                <c:formatCode>0.0%</c:formatCode>
                <c:ptCount val="10"/>
                <c:pt idx="0">
                  <c:v>0.1826601965907681</c:v>
                </c:pt>
                <c:pt idx="1">
                  <c:v>9.333333333333324E-2</c:v>
                </c:pt>
                <c:pt idx="2">
                  <c:v>0.14797794117647065</c:v>
                </c:pt>
                <c:pt idx="3">
                  <c:v>0.22008983258472847</c:v>
                </c:pt>
                <c:pt idx="4">
                  <c:v>0.17613015985232314</c:v>
                </c:pt>
                <c:pt idx="5">
                  <c:v>7.9337704255346142E-2</c:v>
                </c:pt>
                <c:pt idx="6">
                  <c:v>0.15196998123827399</c:v>
                </c:pt>
                <c:pt idx="7">
                  <c:v>8.1098010347137733E-2</c:v>
                </c:pt>
                <c:pt idx="8">
                  <c:v>0.11172683562871824</c:v>
                </c:pt>
                <c:pt idx="9">
                  <c:v>0.14458955223880596</c:v>
                </c:pt>
              </c:numCache>
            </c:numRef>
          </c:val>
        </c:ser>
        <c:ser>
          <c:idx val="5"/>
          <c:order val="1"/>
          <c:spPr>
            <a:solidFill>
              <a:schemeClr val="accent3"/>
            </a:solidFill>
          </c:spPr>
          <c:cat>
            <c:strRef>
              <c:f>QUE!$A$265:$A$274</c:f>
              <c:strCache>
                <c:ptCount val="10"/>
                <c:pt idx="0">
                  <c:v>Disability Tax Measures</c:v>
                </c:pt>
                <c:pt idx="1">
                  <c:v>CPP-D</c:v>
                </c:pt>
                <c:pt idx="2">
                  <c:v>QPP-D</c:v>
                </c:pt>
                <c:pt idx="3">
                  <c:v>EI Sickness</c:v>
                </c:pt>
                <c:pt idx="4">
                  <c:v>Veterans' Disability Pensions &amp; Awards</c:v>
                </c:pt>
                <c:pt idx="5">
                  <c:v>Income Asst. for the Disabled</c:v>
                </c:pt>
                <c:pt idx="6">
                  <c:v>First Nations SA for Disabled </c:v>
                </c:pt>
                <c:pt idx="7">
                  <c:v>Income Asst. for the Disabled &amp; FN SA</c:v>
                </c:pt>
                <c:pt idx="8">
                  <c:v>Workers' Compensation </c:v>
                </c:pt>
                <c:pt idx="9">
                  <c:v>Private Disability Insurance</c:v>
                </c:pt>
              </c:strCache>
            </c:strRef>
          </c:cat>
          <c:val>
            <c:numRef>
              <c:f>QUE!$G$265:$G$274</c:f>
              <c:numCache>
                <c:formatCode>0.0%</c:formatCode>
                <c:ptCount val="10"/>
                <c:pt idx="0">
                  <c:v>0.25913251213139238</c:v>
                </c:pt>
                <c:pt idx="1">
                  <c:v>0.15999999999999989</c:v>
                </c:pt>
                <c:pt idx="2">
                  <c:v>0.15808823529411772</c:v>
                </c:pt>
                <c:pt idx="3">
                  <c:v>0.21069824418129846</c:v>
                </c:pt>
                <c:pt idx="4">
                  <c:v>0.25780605632143277</c:v>
                </c:pt>
                <c:pt idx="5">
                  <c:v>0.10447225008811654</c:v>
                </c:pt>
                <c:pt idx="6">
                  <c:v>0.15384615384615388</c:v>
                </c:pt>
                <c:pt idx="7">
                  <c:v>0.10566886937600195</c:v>
                </c:pt>
                <c:pt idx="8">
                  <c:v>0.10048080841007269</c:v>
                </c:pt>
                <c:pt idx="9">
                  <c:v>0.16791044776119404</c:v>
                </c:pt>
              </c:numCache>
            </c:numRef>
          </c:val>
        </c:ser>
        <c:dLbls/>
        <c:gapWidth val="75"/>
        <c:axId val="91158016"/>
        <c:axId val="91159552"/>
      </c:barChart>
      <c:catAx>
        <c:axId val="91158016"/>
        <c:scaling>
          <c:orientation val="minMax"/>
        </c:scaling>
        <c:axPos val="b"/>
        <c:majorTickMark val="none"/>
        <c:tickLblPos val="nextTo"/>
        <c:txPr>
          <a:bodyPr/>
          <a:lstStyle/>
          <a:p>
            <a:pPr>
              <a:defRPr lang="en-US" sz="1050" b="1" i="0" baseline="0"/>
            </a:pPr>
            <a:endParaRPr lang="en-US"/>
          </a:p>
        </c:txPr>
        <c:crossAx val="91159552"/>
        <c:crosses val="autoZero"/>
        <c:auto val="1"/>
        <c:lblAlgn val="ctr"/>
        <c:lblOffset val="100"/>
      </c:catAx>
      <c:valAx>
        <c:axId val="91159552"/>
        <c:scaling>
          <c:orientation val="minMax"/>
        </c:scaling>
        <c:axPos val="l"/>
        <c:majorGridlines/>
        <c:numFmt formatCode="0%" sourceLinked="0"/>
        <c:majorTickMark val="none"/>
        <c:tickLblPos val="nextTo"/>
        <c:txPr>
          <a:bodyPr/>
          <a:lstStyle/>
          <a:p>
            <a:pPr>
              <a:defRPr lang="en-US"/>
            </a:pPr>
            <a:endParaRPr lang="en-US"/>
          </a:p>
        </c:txPr>
        <c:crossAx val="91158016"/>
        <c:crosses val="autoZero"/>
        <c:crossBetween val="between"/>
      </c:valAx>
    </c:plotArea>
    <c:plotVisOnly val="1"/>
    <c:dispBlanksAs val="gap"/>
  </c:chart>
  <c:userShapes r:id="rId1"/>
</c:chartSpace>
</file>

<file path=xl/charts/chart14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a:t>
            </a:r>
          </a:p>
          <a:p>
            <a:pPr>
              <a:defRPr/>
            </a:pPr>
            <a:r>
              <a:rPr lang="en-US" sz="1800" b="1" i="0" baseline="0"/>
              <a:t>PERCENTAGE INCREASE FROM 2005-06 TO </a:t>
            </a:r>
            <a:endParaRPr lang="en-CA"/>
          </a:p>
          <a:p>
            <a:pPr>
              <a:defRPr/>
            </a:pPr>
            <a:r>
              <a:rPr lang="en-US" sz="1800" b="1" i="0" baseline="0"/>
              <a:t>2009-10, 2010-11 AND 2011-12</a:t>
            </a:r>
            <a:endParaRPr lang="en-CA"/>
          </a:p>
          <a:p>
            <a:pPr>
              <a:defRPr/>
            </a:pPr>
            <a:r>
              <a:rPr lang="en-US" sz="1800" b="1" i="0" baseline="0"/>
              <a:t>QUEBEC</a:t>
            </a:r>
            <a:endParaRPr lang="en-CA"/>
          </a:p>
        </c:rich>
      </c:tx>
    </c:title>
    <c:plotArea>
      <c:layout>
        <c:manualLayout>
          <c:layoutTarget val="inner"/>
          <c:xMode val="edge"/>
          <c:yMode val="edge"/>
          <c:x val="5.9556118678362066E-2"/>
          <c:y val="0.23203835308965684"/>
          <c:w val="0.92433214127216035"/>
          <c:h val="0.70620838732350355"/>
        </c:manualLayout>
      </c:layout>
      <c:barChart>
        <c:barDir val="col"/>
        <c:grouping val="clustered"/>
        <c:ser>
          <c:idx val="0"/>
          <c:order val="0"/>
          <c:tx>
            <c:strRef>
              <c:f>QUE!$E$277</c:f>
              <c:strCache>
                <c:ptCount val="1"/>
                <c:pt idx="0">
                  <c:v>2009-10</c:v>
                </c:pt>
              </c:strCache>
            </c:strRef>
          </c:tx>
          <c:dLbls>
            <c:txPr>
              <a:bodyPr/>
              <a:lstStyle/>
              <a:p>
                <a:pPr>
                  <a:defRPr sz="1400" b="1"/>
                </a:pPr>
                <a:endParaRPr lang="en-US"/>
              </a:p>
            </c:txPr>
            <c:showVal val="1"/>
          </c:dLbls>
          <c:cat>
            <c:strRef>
              <c:f>QUE!$A$278:$A$280</c:f>
              <c:strCache>
                <c:ptCount val="3"/>
                <c:pt idx="0">
                  <c:v>Income Assistance for the Disabled (IAD) &amp; FN SA</c:v>
                </c:pt>
                <c:pt idx="1">
                  <c:v>Total Income Support for the Disabled</c:v>
                </c:pt>
                <c:pt idx="2">
                  <c:v>Total Income Support for the Disabled excl. IAD &amp; FN SA</c:v>
                </c:pt>
              </c:strCache>
            </c:strRef>
          </c:cat>
          <c:val>
            <c:numRef>
              <c:f>QUE!$E$278:$E$280</c:f>
              <c:numCache>
                <c:formatCode>0.0%</c:formatCode>
                <c:ptCount val="3"/>
                <c:pt idx="0">
                  <c:v>8.1098010347137733E-2</c:v>
                </c:pt>
                <c:pt idx="1">
                  <c:v>0.12957692320939129</c:v>
                </c:pt>
                <c:pt idx="2">
                  <c:v>0.14493806940857726</c:v>
                </c:pt>
              </c:numCache>
            </c:numRef>
          </c:val>
        </c:ser>
        <c:ser>
          <c:idx val="1"/>
          <c:order val="1"/>
          <c:tx>
            <c:strRef>
              <c:f>QUE!$G$277</c:f>
              <c:strCache>
                <c:ptCount val="1"/>
                <c:pt idx="0">
                  <c:v>2010-11</c:v>
                </c:pt>
              </c:strCache>
            </c:strRef>
          </c:tx>
          <c:spPr>
            <a:solidFill>
              <a:schemeClr val="accent3"/>
            </a:solidFill>
          </c:spPr>
          <c:dLbls>
            <c:txPr>
              <a:bodyPr/>
              <a:lstStyle/>
              <a:p>
                <a:pPr>
                  <a:defRPr sz="1400" b="1"/>
                </a:pPr>
                <a:endParaRPr lang="en-US"/>
              </a:p>
            </c:txPr>
            <c:showVal val="1"/>
          </c:dLbls>
          <c:cat>
            <c:strRef>
              <c:f>QUE!$A$278:$A$280</c:f>
              <c:strCache>
                <c:ptCount val="3"/>
                <c:pt idx="0">
                  <c:v>Income Assistance for the Disabled (IAD) &amp; FN SA</c:v>
                </c:pt>
                <c:pt idx="1">
                  <c:v>Total Income Support for the Disabled</c:v>
                </c:pt>
                <c:pt idx="2">
                  <c:v>Total Income Support for the Disabled excl. IAD &amp; FN SA</c:v>
                </c:pt>
              </c:strCache>
            </c:strRef>
          </c:cat>
          <c:val>
            <c:numRef>
              <c:f>QUE!$G$278:$G$280</c:f>
              <c:numCache>
                <c:formatCode>0.0%</c:formatCode>
                <c:ptCount val="3"/>
                <c:pt idx="0">
                  <c:v>0.10566886937600195</c:v>
                </c:pt>
                <c:pt idx="1">
                  <c:v>0.14819412883742267</c:v>
                </c:pt>
                <c:pt idx="2">
                  <c:v>0.1616687859445507</c:v>
                </c:pt>
              </c:numCache>
            </c:numRef>
          </c:val>
        </c:ser>
        <c:ser>
          <c:idx val="2"/>
          <c:order val="2"/>
          <c:tx>
            <c:strRef>
              <c:f>QUE!$I$277</c:f>
              <c:strCache>
                <c:ptCount val="1"/>
                <c:pt idx="0">
                  <c:v>2011-12</c:v>
                </c:pt>
              </c:strCache>
            </c:strRef>
          </c:tx>
          <c:spPr>
            <a:solidFill>
              <a:schemeClr val="accent6">
                <a:lumMod val="75000"/>
              </a:schemeClr>
            </a:solidFill>
          </c:spPr>
          <c:dLbls>
            <c:dLbl>
              <c:idx val="1"/>
              <c:layout>
                <c:manualLayout>
                  <c:x val="0"/>
                  <c:y val="8.0705635334258705E-3"/>
                </c:manualLayout>
              </c:layout>
              <c:showVal val="1"/>
            </c:dLbl>
            <c:dLbl>
              <c:idx val="2"/>
              <c:layout>
                <c:manualLayout>
                  <c:x val="0"/>
                  <c:y val="1.0088403007392655E-2"/>
                </c:manualLayout>
              </c:layout>
              <c:showVal val="1"/>
            </c:dLbl>
            <c:txPr>
              <a:bodyPr/>
              <a:lstStyle/>
              <a:p>
                <a:pPr>
                  <a:defRPr sz="1400" b="1"/>
                </a:pPr>
                <a:endParaRPr lang="en-US"/>
              </a:p>
            </c:txPr>
            <c:showVal val="1"/>
          </c:dLbls>
          <c:cat>
            <c:strRef>
              <c:f>QUE!$A$278:$A$280</c:f>
              <c:strCache>
                <c:ptCount val="3"/>
                <c:pt idx="0">
                  <c:v>Income Assistance for the Disabled (IAD) &amp; FN SA</c:v>
                </c:pt>
                <c:pt idx="1">
                  <c:v>Total Income Support for the Disabled</c:v>
                </c:pt>
                <c:pt idx="2">
                  <c:v>Total Income Support for the Disabled excl. IAD &amp; FN SA</c:v>
                </c:pt>
              </c:strCache>
            </c:strRef>
          </c:cat>
          <c:val>
            <c:numRef>
              <c:f>QUE!$I$278:$I$280</c:f>
              <c:numCache>
                <c:formatCode>0.0%</c:formatCode>
                <c:ptCount val="3"/>
                <c:pt idx="0">
                  <c:v>0.11605136361561207</c:v>
                </c:pt>
                <c:pt idx="1">
                  <c:v>0.17151803303777749</c:v>
                </c:pt>
                <c:pt idx="2">
                  <c:v>0.18909333677028375</c:v>
                </c:pt>
              </c:numCache>
            </c:numRef>
          </c:val>
        </c:ser>
        <c:dLbls/>
        <c:gapWidth val="75"/>
        <c:axId val="91231744"/>
        <c:axId val="91233280"/>
      </c:barChart>
      <c:catAx>
        <c:axId val="91231744"/>
        <c:scaling>
          <c:orientation val="minMax"/>
        </c:scaling>
        <c:delete val="1"/>
        <c:axPos val="b"/>
        <c:majorTickMark val="none"/>
        <c:tickLblPos val="none"/>
        <c:crossAx val="91233280"/>
        <c:crosses val="autoZero"/>
        <c:auto val="1"/>
        <c:lblAlgn val="ctr"/>
        <c:lblOffset val="100"/>
      </c:catAx>
      <c:valAx>
        <c:axId val="91233280"/>
        <c:scaling>
          <c:orientation val="minMax"/>
        </c:scaling>
        <c:axPos val="l"/>
        <c:majorGridlines/>
        <c:numFmt formatCode="0.0%" sourceLinked="1"/>
        <c:majorTickMark val="none"/>
        <c:tickLblPos val="nextTo"/>
        <c:crossAx val="91231744"/>
        <c:crosses val="autoZero"/>
        <c:crossBetween val="between"/>
      </c:valAx>
    </c:plotArea>
    <c:legend>
      <c:legendPos val="b"/>
      <c:layout>
        <c:manualLayout>
          <c:xMode val="edge"/>
          <c:yMode val="edge"/>
          <c:x val="0.30517665479218736"/>
          <c:y val="0.94652431479884513"/>
          <c:w val="0.41747605959198658"/>
          <c:h val="4.1369601592283624E-2"/>
        </c:manualLayout>
      </c:layout>
      <c:txPr>
        <a:bodyPr/>
        <a:lstStyle/>
        <a:p>
          <a:pPr>
            <a:defRPr sz="1200" b="1"/>
          </a:pPr>
          <a:endParaRPr lang="en-US"/>
        </a:p>
      </c:txPr>
    </c:legend>
    <c:plotVisOnly val="1"/>
    <c:dispBlanksAs val="gap"/>
  </c:chart>
  <c:userShapes r:id="rId1"/>
</c:chartSpace>
</file>

<file path=xl/charts/chart14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a:t>
            </a:r>
          </a:p>
          <a:p>
            <a:pPr>
              <a:defRPr lang="en-US"/>
            </a:pPr>
            <a:r>
              <a:rPr lang="en-US" sz="1800" b="1" i="0" baseline="0"/>
              <a:t>2009-10 AND 2010-11</a:t>
            </a:r>
          </a:p>
          <a:p>
            <a:pPr>
              <a:defRPr lang="en-US"/>
            </a:pPr>
            <a:r>
              <a:rPr lang="en-US" sz="1800" b="1" i="0" baseline="0"/>
              <a:t>QUEBEC</a:t>
            </a:r>
            <a:endParaRPr lang="en-US"/>
          </a:p>
        </c:rich>
      </c:tx>
    </c:title>
    <c:plotArea>
      <c:layout/>
      <c:barChart>
        <c:barDir val="col"/>
        <c:grouping val="clustered"/>
        <c:ser>
          <c:idx val="0"/>
          <c:order val="0"/>
          <c:tx>
            <c:strRef>
              <c:f>QUE!$E$277</c:f>
              <c:strCache>
                <c:ptCount val="1"/>
                <c:pt idx="0">
                  <c:v>2009-10</c:v>
                </c:pt>
              </c:strCache>
            </c:strRef>
          </c:tx>
          <c:dLbls>
            <c:dLbl>
              <c:idx val="1"/>
              <c:layout>
                <c:manualLayout>
                  <c:x val="5.3663923126379251E-17"/>
                  <c:y val="4.0314375947745878E-3"/>
                </c:manualLayout>
              </c:layout>
              <c:showVal val="1"/>
            </c:dLbl>
            <c:txPr>
              <a:bodyPr/>
              <a:lstStyle/>
              <a:p>
                <a:pPr>
                  <a:defRPr lang="en-US" sz="1400" b="1" i="0" baseline="0"/>
                </a:pPr>
                <a:endParaRPr lang="en-US"/>
              </a:p>
            </c:txPr>
            <c:showVal val="1"/>
          </c:dLbls>
          <c:cat>
            <c:strRef>
              <c:f>QUE!$A$278:$A$280</c:f>
              <c:strCache>
                <c:ptCount val="3"/>
                <c:pt idx="0">
                  <c:v>Income Assistance for the Disabled (IAD) &amp; FN SA</c:v>
                </c:pt>
                <c:pt idx="1">
                  <c:v>Total Income Support for the Disabled</c:v>
                </c:pt>
                <c:pt idx="2">
                  <c:v>Total Income Support for the Disabled excl. IAD &amp; FN SA</c:v>
                </c:pt>
              </c:strCache>
            </c:strRef>
          </c:cat>
          <c:val>
            <c:numRef>
              <c:f>QUE!$E$278:$E$280</c:f>
              <c:numCache>
                <c:formatCode>0.0%</c:formatCode>
                <c:ptCount val="3"/>
                <c:pt idx="0">
                  <c:v>8.1098010347137733E-2</c:v>
                </c:pt>
                <c:pt idx="1">
                  <c:v>0.12957692320939129</c:v>
                </c:pt>
                <c:pt idx="2">
                  <c:v>0.14493806940857726</c:v>
                </c:pt>
              </c:numCache>
            </c:numRef>
          </c:val>
        </c:ser>
        <c:ser>
          <c:idx val="1"/>
          <c:order val="1"/>
          <c:tx>
            <c:strRef>
              <c:f>QUE!$G$277</c:f>
              <c:strCache>
                <c:ptCount val="1"/>
                <c:pt idx="0">
                  <c:v>2010-11</c:v>
                </c:pt>
              </c:strCache>
            </c:strRef>
          </c:tx>
          <c:spPr>
            <a:solidFill>
              <a:schemeClr val="accent3"/>
            </a:solidFill>
          </c:spPr>
          <c:dLbls>
            <c:txPr>
              <a:bodyPr/>
              <a:lstStyle/>
              <a:p>
                <a:pPr>
                  <a:defRPr lang="en-US" sz="1400" b="1" i="0" baseline="0"/>
                </a:pPr>
                <a:endParaRPr lang="en-US"/>
              </a:p>
            </c:txPr>
            <c:showVal val="1"/>
          </c:dLbls>
          <c:cat>
            <c:strRef>
              <c:f>QUE!$A$278:$A$280</c:f>
              <c:strCache>
                <c:ptCount val="3"/>
                <c:pt idx="0">
                  <c:v>Income Assistance for the Disabled (IAD) &amp; FN SA</c:v>
                </c:pt>
                <c:pt idx="1">
                  <c:v>Total Income Support for the Disabled</c:v>
                </c:pt>
                <c:pt idx="2">
                  <c:v>Total Income Support for the Disabled excl. IAD &amp; FN SA</c:v>
                </c:pt>
              </c:strCache>
            </c:strRef>
          </c:cat>
          <c:val>
            <c:numRef>
              <c:f>QUE!$G$278:$G$280</c:f>
              <c:numCache>
                <c:formatCode>0.0%</c:formatCode>
                <c:ptCount val="3"/>
                <c:pt idx="0">
                  <c:v>0.10566886937600195</c:v>
                </c:pt>
                <c:pt idx="1">
                  <c:v>0.14819412883742267</c:v>
                </c:pt>
                <c:pt idx="2">
                  <c:v>0.1616687859445507</c:v>
                </c:pt>
              </c:numCache>
            </c:numRef>
          </c:val>
        </c:ser>
        <c:dLbls/>
        <c:gapWidth val="50"/>
        <c:axId val="91554560"/>
        <c:axId val="91556096"/>
      </c:barChart>
      <c:catAx>
        <c:axId val="91554560"/>
        <c:scaling>
          <c:orientation val="minMax"/>
        </c:scaling>
        <c:delete val="1"/>
        <c:axPos val="b"/>
        <c:majorTickMark val="none"/>
        <c:tickLblPos val="none"/>
        <c:crossAx val="91556096"/>
        <c:crosses val="autoZero"/>
        <c:auto val="1"/>
        <c:lblAlgn val="ctr"/>
        <c:lblOffset val="100"/>
      </c:catAx>
      <c:valAx>
        <c:axId val="91556096"/>
        <c:scaling>
          <c:orientation val="minMax"/>
        </c:scaling>
        <c:axPos val="l"/>
        <c:majorGridlines/>
        <c:numFmt formatCode="0%" sourceLinked="0"/>
        <c:majorTickMark val="none"/>
        <c:tickLblPos val="nextTo"/>
        <c:txPr>
          <a:bodyPr/>
          <a:lstStyle/>
          <a:p>
            <a:pPr>
              <a:defRPr lang="en-US"/>
            </a:pPr>
            <a:endParaRPr lang="en-US"/>
          </a:p>
        </c:txPr>
        <c:crossAx val="91554560"/>
        <c:crosses val="autoZero"/>
        <c:crossBetween val="between"/>
      </c:valAx>
    </c:plotArea>
    <c:legend>
      <c:legendPos val="b"/>
      <c:layout>
        <c:manualLayout>
          <c:xMode val="edge"/>
          <c:yMode val="edge"/>
          <c:x val="0.33507937089636686"/>
          <c:y val="0.9417074757137629"/>
          <c:w val="0.36496714093522892"/>
          <c:h val="4.6198211501913833E-2"/>
        </c:manualLayout>
      </c:layout>
      <c:txPr>
        <a:bodyPr/>
        <a:lstStyle/>
        <a:p>
          <a:pPr>
            <a:defRPr lang="en-US" sz="1400" b="1" i="0" baseline="0"/>
          </a:pPr>
          <a:endParaRPr lang="en-US"/>
        </a:p>
      </c:txPr>
    </c:legend>
    <c:plotVisOnly val="1"/>
    <c:dispBlanksAs val="gap"/>
  </c:chart>
  <c:userShapes r:id="rId1"/>
</c:chartSpace>
</file>

<file path=xl/charts/chart14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PERSONS WITH DISABILITIES:</a:t>
            </a:r>
          </a:p>
          <a:p>
            <a:pPr>
              <a:defRPr lang="en-US"/>
            </a:pPr>
            <a:r>
              <a:rPr lang="en-US" sz="1800" b="1" i="0" baseline="0"/>
              <a:t>PERCENTAGE CHANGE FROM 2005 TO 2013</a:t>
            </a:r>
            <a:endParaRPr lang="en-US"/>
          </a:p>
          <a:p>
            <a:pPr>
              <a:defRPr lang="en-US"/>
            </a:pPr>
            <a:r>
              <a:rPr lang="en-US" sz="1800" b="1" i="0" baseline="0"/>
              <a:t>QUEBEC</a:t>
            </a:r>
            <a:endParaRPr lang="en-US"/>
          </a:p>
        </c:rich>
      </c:tx>
      <c:layout>
        <c:manualLayout>
          <c:xMode val="edge"/>
          <c:yMode val="edge"/>
          <c:x val="0.23829753789227998"/>
          <c:y val="2.4188625568646972E-2"/>
        </c:manualLayout>
      </c:layout>
    </c:title>
    <c:plotArea>
      <c:layout>
        <c:manualLayout>
          <c:layoutTarget val="inner"/>
          <c:xMode val="edge"/>
          <c:yMode val="edge"/>
          <c:x val="6.4493794312142472E-2"/>
          <c:y val="0.18348596186767954"/>
          <c:w val="0.93550620568785758"/>
          <c:h val="0.80421307449176116"/>
        </c:manualLayout>
      </c:layout>
      <c:barChart>
        <c:barDir val="col"/>
        <c:grouping val="clustered"/>
        <c:ser>
          <c:idx val="0"/>
          <c:order val="0"/>
          <c:spPr>
            <a:solidFill>
              <a:srgbClr val="F79646">
                <a:lumMod val="75000"/>
              </a:srgbClr>
            </a:solidFill>
          </c:spPr>
          <c:dLbls>
            <c:dLbl>
              <c:idx val="1"/>
              <c:layout>
                <c:manualLayout>
                  <c:x val="0"/>
                  <c:y val="-6.047156392161749E-3"/>
                </c:manualLayout>
              </c:layout>
              <c:showVal val="1"/>
            </c:dLbl>
            <c:txPr>
              <a:bodyPr/>
              <a:lstStyle/>
              <a:p>
                <a:pPr>
                  <a:defRPr sz="1400" b="1"/>
                </a:pPr>
                <a:endParaRPr lang="en-US"/>
              </a:p>
            </c:txPr>
            <c:showVal val="1"/>
          </c:dLbls>
          <c:cat>
            <c:strRef>
              <c:f>QUE!$A$278:$A$280</c:f>
              <c:strCache>
                <c:ptCount val="3"/>
                <c:pt idx="0">
                  <c:v>Income Assistance for the Disabled (IAD) &amp; FN SA</c:v>
                </c:pt>
                <c:pt idx="1">
                  <c:v>Total Income Support for the Disabled</c:v>
                </c:pt>
                <c:pt idx="2">
                  <c:v>Total Income Support for the Disabled excl. IAD &amp; FN SA</c:v>
                </c:pt>
              </c:strCache>
            </c:strRef>
          </c:cat>
          <c:val>
            <c:numRef>
              <c:f>QUE!$M$278:$M$280</c:f>
              <c:numCache>
                <c:formatCode>0.0%</c:formatCode>
                <c:ptCount val="3"/>
                <c:pt idx="0">
                  <c:v>0.14726472113386821</c:v>
                </c:pt>
                <c:pt idx="1">
                  <c:v>0.24187948021470321</c:v>
                </c:pt>
                <c:pt idx="2">
                  <c:v>0.27185934281952467</c:v>
                </c:pt>
              </c:numCache>
            </c:numRef>
          </c:val>
        </c:ser>
        <c:dLbls/>
        <c:gapWidth val="50"/>
        <c:axId val="91589248"/>
        <c:axId val="91619712"/>
      </c:barChart>
      <c:catAx>
        <c:axId val="91589248"/>
        <c:scaling>
          <c:orientation val="minMax"/>
        </c:scaling>
        <c:delete val="1"/>
        <c:axPos val="b"/>
        <c:majorTickMark val="none"/>
        <c:tickLblPos val="none"/>
        <c:crossAx val="91619712"/>
        <c:crosses val="autoZero"/>
        <c:auto val="1"/>
        <c:lblAlgn val="ctr"/>
        <c:lblOffset val="100"/>
      </c:catAx>
      <c:valAx>
        <c:axId val="91619712"/>
        <c:scaling>
          <c:orientation val="minMax"/>
          <c:max val="0.35000000000000031"/>
        </c:scaling>
        <c:axPos val="l"/>
        <c:majorGridlines/>
        <c:numFmt formatCode="0%" sourceLinked="0"/>
        <c:majorTickMark val="none"/>
        <c:tickLblPos val="nextTo"/>
        <c:txPr>
          <a:bodyPr/>
          <a:lstStyle/>
          <a:p>
            <a:pPr>
              <a:defRPr lang="en-US"/>
            </a:pPr>
            <a:endParaRPr lang="en-US"/>
          </a:p>
        </c:txPr>
        <c:crossAx val="91589248"/>
        <c:crosses val="autoZero"/>
        <c:crossBetween val="between"/>
      </c:valAx>
    </c:plotArea>
    <c:plotVisOnly val="1"/>
    <c:dispBlanksAs val="gap"/>
  </c:chart>
  <c:userShapes r:id="rId1"/>
</c:chartSpace>
</file>

<file path=xl/charts/chart14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2009-10</a:t>
            </a:r>
          </a:p>
          <a:p>
            <a:pPr>
              <a:defRPr lang="en-US"/>
            </a:pPr>
            <a:r>
              <a:rPr lang="en-US" sz="1800" b="1" i="0" baseline="0"/>
              <a:t>QUEBEC</a:t>
            </a:r>
            <a:endParaRPr lang="en-US"/>
          </a:p>
        </c:rich>
      </c:tx>
    </c:title>
    <c:plotArea>
      <c:layout/>
      <c:barChart>
        <c:barDir val="col"/>
        <c:grouping val="clustered"/>
        <c:ser>
          <c:idx val="3"/>
          <c:order val="0"/>
          <c:spPr>
            <a:solidFill>
              <a:srgbClr val="4F81BD"/>
            </a:solidFill>
          </c:spPr>
          <c:dLbls>
            <c:txPr>
              <a:bodyPr/>
              <a:lstStyle/>
              <a:p>
                <a:pPr>
                  <a:defRPr lang="en-US" sz="1400" b="1" i="0" baseline="0"/>
                </a:pPr>
                <a:endParaRPr lang="en-US"/>
              </a:p>
            </c:txPr>
            <c:showVal val="1"/>
          </c:dLbls>
          <c:cat>
            <c:strRef>
              <c:f>QUE!$A$278:$A$280</c:f>
              <c:strCache>
                <c:ptCount val="3"/>
                <c:pt idx="0">
                  <c:v>Income Assistance for the Disabled (IAD) &amp; FN SA</c:v>
                </c:pt>
                <c:pt idx="1">
                  <c:v>Total Income Support for the Disabled</c:v>
                </c:pt>
                <c:pt idx="2">
                  <c:v>Total Income Support for the Disabled excl. IAD &amp; FN SA</c:v>
                </c:pt>
              </c:strCache>
            </c:strRef>
          </c:cat>
          <c:val>
            <c:numRef>
              <c:f>QUE!$E$278:$E$280</c:f>
              <c:numCache>
                <c:formatCode>0.0%</c:formatCode>
                <c:ptCount val="3"/>
                <c:pt idx="0">
                  <c:v>8.1098010347137733E-2</c:v>
                </c:pt>
                <c:pt idx="1">
                  <c:v>0.12957692320939129</c:v>
                </c:pt>
                <c:pt idx="2">
                  <c:v>0.14493806940857726</c:v>
                </c:pt>
              </c:numCache>
            </c:numRef>
          </c:val>
        </c:ser>
        <c:dLbls/>
        <c:gapWidth val="50"/>
        <c:axId val="91693440"/>
        <c:axId val="91694976"/>
      </c:barChart>
      <c:catAx>
        <c:axId val="91693440"/>
        <c:scaling>
          <c:orientation val="minMax"/>
        </c:scaling>
        <c:delete val="1"/>
        <c:axPos val="b"/>
        <c:majorTickMark val="none"/>
        <c:tickLblPos val="none"/>
        <c:crossAx val="91694976"/>
        <c:crosses val="autoZero"/>
        <c:auto val="1"/>
        <c:lblAlgn val="ctr"/>
        <c:lblOffset val="100"/>
      </c:catAx>
      <c:valAx>
        <c:axId val="91694976"/>
        <c:scaling>
          <c:orientation val="minMax"/>
        </c:scaling>
        <c:axPos val="l"/>
        <c:majorGridlines/>
        <c:numFmt formatCode="0%" sourceLinked="0"/>
        <c:majorTickMark val="none"/>
        <c:tickLblPos val="nextTo"/>
        <c:txPr>
          <a:bodyPr/>
          <a:lstStyle/>
          <a:p>
            <a:pPr>
              <a:defRPr lang="en-US"/>
            </a:pPr>
            <a:endParaRPr lang="en-US"/>
          </a:p>
        </c:txPr>
        <c:crossAx val="91693440"/>
        <c:crosses val="autoZero"/>
        <c:crossBetween val="between"/>
      </c:valAx>
    </c:plotArea>
    <c:plotVisOnly val="1"/>
    <c:dispBlanksAs val="gap"/>
  </c:chart>
  <c:userShapes r:id="rId1"/>
</c:chartSpace>
</file>

<file path=xl/charts/chart14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p>
          <a:p>
            <a:pPr>
              <a:defRPr/>
            </a:pPr>
            <a:r>
              <a:rPr lang="en-US" sz="1800" b="1" i="0" baseline="0"/>
              <a:t>SASKATCHEWAN 2013</a:t>
            </a:r>
          </a:p>
          <a:p>
            <a:pPr>
              <a:defRPr/>
            </a:pPr>
            <a:r>
              <a:rPr lang="en-US" sz="1800" b="1" i="0" baseline="0"/>
              <a:t>$829  M</a:t>
            </a:r>
            <a:endParaRPr lang="en-CA"/>
          </a:p>
        </c:rich>
      </c:tx>
    </c:title>
    <c:plotArea>
      <c:layout>
        <c:manualLayout>
          <c:layoutTarget val="inner"/>
          <c:xMode val="edge"/>
          <c:yMode val="edge"/>
          <c:x val="0.25092207130777078"/>
          <c:y val="0.23247382258010191"/>
          <c:w val="0.50694407922962581"/>
          <c:h val="0.69833323695069061"/>
        </c:manualLayout>
      </c:layout>
      <c:pieChart>
        <c:varyColors val="1"/>
        <c:ser>
          <c:idx val="8"/>
          <c:order val="0"/>
          <c:dLbls>
            <c:dLbl>
              <c:idx val="0"/>
              <c:layout>
                <c:manualLayout>
                  <c:x val="0.11617492990182107"/>
                  <c:y val="6.4824741403250799E-2"/>
                </c:manualLayout>
              </c:layout>
              <c:tx>
                <c:rich>
                  <a:bodyPr/>
                  <a:lstStyle/>
                  <a:p>
                    <a:r>
                      <a:rPr lang="en-US"/>
                      <a:t>Disability Tax Measures</a:t>
                    </a:r>
                  </a:p>
                  <a:p>
                    <a:r>
                      <a:rPr lang="en-US"/>
                      <a:t>$78 M</a:t>
                    </a:r>
                  </a:p>
                </c:rich>
              </c:tx>
              <c:showVal val="1"/>
              <c:showCatName val="1"/>
            </c:dLbl>
            <c:dLbl>
              <c:idx val="1"/>
              <c:layout>
                <c:manualLayout>
                  <c:x val="-0.11057480276093176"/>
                  <c:y val="0.10567832515351849"/>
                </c:manualLayout>
              </c:layout>
              <c:tx>
                <c:rich>
                  <a:bodyPr/>
                  <a:lstStyle/>
                  <a:p>
                    <a:r>
                      <a:rPr lang="en-US"/>
                      <a:t>CPP-D</a:t>
                    </a:r>
                  </a:p>
                  <a:p>
                    <a:r>
                      <a:rPr lang="en-US"/>
                      <a:t>$102 M</a:t>
                    </a:r>
                  </a:p>
                </c:rich>
              </c:tx>
              <c:showVal val="1"/>
              <c:showCatName val="1"/>
            </c:dLbl>
            <c:dLbl>
              <c:idx val="2"/>
              <c:layout>
                <c:manualLayout>
                  <c:x val="4.1736787911835507E-2"/>
                  <c:y val="5.8544511940538529E-4"/>
                </c:manualLayout>
              </c:layout>
              <c:tx>
                <c:rich>
                  <a:bodyPr/>
                  <a:lstStyle/>
                  <a:p>
                    <a:r>
                      <a:rPr lang="en-US"/>
                      <a:t>EI Sickness</a:t>
                    </a:r>
                  </a:p>
                  <a:p>
                    <a:r>
                      <a:rPr lang="en-US"/>
                      <a:t>$28 M</a:t>
                    </a:r>
                  </a:p>
                </c:rich>
              </c:tx>
              <c:showVal val="1"/>
              <c:showCatName val="1"/>
            </c:dLbl>
            <c:dLbl>
              <c:idx val="3"/>
              <c:layout>
                <c:manualLayout>
                  <c:x val="3.2057288134654957E-2"/>
                  <c:y val="8.9774076966730263E-3"/>
                </c:manualLayout>
              </c:layout>
              <c:tx>
                <c:rich>
                  <a:bodyPr/>
                  <a:lstStyle/>
                  <a:p>
                    <a:r>
                      <a:rPr lang="en-US"/>
                      <a:t>Veterans' Disability Pensions &amp; Awards</a:t>
                    </a:r>
                  </a:p>
                  <a:p>
                    <a:r>
                      <a:rPr lang="en-US"/>
                      <a:t>$50  M</a:t>
                    </a:r>
                  </a:p>
                </c:rich>
              </c:tx>
              <c:showVal val="1"/>
              <c:showCatName val="1"/>
            </c:dLbl>
            <c:dLbl>
              <c:idx val="4"/>
              <c:layout>
                <c:manualLayout>
                  <c:x val="3.9830712551795183E-2"/>
                  <c:y val="3.5372959521196463E-3"/>
                </c:manualLayout>
              </c:layout>
              <c:tx>
                <c:rich>
                  <a:bodyPr/>
                  <a:lstStyle/>
                  <a:p>
                    <a:r>
                      <a:rPr lang="en-US"/>
                      <a:t>Income Asst. for the Disabled</a:t>
                    </a:r>
                  </a:p>
                  <a:p>
                    <a:r>
                      <a:rPr lang="en-US"/>
                      <a:t>$73 M </a:t>
                    </a:r>
                  </a:p>
                </c:rich>
              </c:tx>
              <c:showVal val="1"/>
              <c:showCatName val="1"/>
            </c:dLbl>
            <c:dLbl>
              <c:idx val="5"/>
              <c:tx>
                <c:rich>
                  <a:bodyPr/>
                  <a:lstStyle/>
                  <a:p>
                    <a:r>
                      <a:rPr lang="en-US"/>
                      <a:t>First Nations SA for Disabled $83</a:t>
                    </a:r>
                    <a:r>
                      <a:rPr lang="en-US" baseline="0"/>
                      <a:t> M</a:t>
                    </a:r>
                    <a:endParaRPr lang="en-US"/>
                  </a:p>
                </c:rich>
              </c:tx>
              <c:showVal val="1"/>
              <c:showCatName val="1"/>
            </c:dLbl>
            <c:dLbl>
              <c:idx val="6"/>
              <c:layout>
                <c:manualLayout>
                  <c:x val="0.14919528951309116"/>
                  <c:y val="-0.17476196135077204"/>
                </c:manualLayout>
              </c:layout>
              <c:tx>
                <c:rich>
                  <a:bodyPr/>
                  <a:lstStyle/>
                  <a:p>
                    <a:r>
                      <a:rPr lang="en-US"/>
                      <a:t>Sask Assured Income for Disability</a:t>
                    </a:r>
                  </a:p>
                  <a:p>
                    <a:r>
                      <a:rPr lang="en-US"/>
                      <a:t>$158 M</a:t>
                    </a:r>
                  </a:p>
                </c:rich>
              </c:tx>
              <c:showVal val="1"/>
              <c:showCatName val="1"/>
            </c:dLbl>
            <c:dLbl>
              <c:idx val="7"/>
              <c:layout>
                <c:manualLayout>
                  <c:x val="0.17627448823024133"/>
                  <c:y val="1.5030131756132008E-2"/>
                </c:manualLayout>
              </c:layout>
              <c:tx>
                <c:rich>
                  <a:bodyPr/>
                  <a:lstStyle/>
                  <a:p>
                    <a:r>
                      <a:rPr lang="en-US"/>
                      <a:t>Workers' Compensation</a:t>
                    </a:r>
                  </a:p>
                  <a:p>
                    <a:r>
                      <a:rPr lang="en-US"/>
                      <a:t>$119  M</a:t>
                    </a:r>
                  </a:p>
                </c:rich>
              </c:tx>
              <c:showVal val="1"/>
              <c:showCatName val="1"/>
            </c:dLbl>
            <c:dLbl>
              <c:idx val="8"/>
              <c:layout>
                <c:manualLayout>
                  <c:x val="0.12131967260759688"/>
                  <c:y val="0.20527850664944913"/>
                </c:manualLayout>
              </c:layout>
              <c:tx>
                <c:rich>
                  <a:bodyPr/>
                  <a:lstStyle/>
                  <a:p>
                    <a:r>
                      <a:rPr lang="en-US"/>
                      <a:t>Private Disability Insurance</a:t>
                    </a:r>
                  </a:p>
                  <a:p>
                    <a:r>
                      <a:rPr lang="en-US"/>
                      <a:t>$137 M</a:t>
                    </a:r>
                  </a:p>
                </c:rich>
              </c:tx>
              <c:showVal val="1"/>
              <c:showCatName val="1"/>
            </c:dLbl>
            <c:txPr>
              <a:bodyPr/>
              <a:lstStyle/>
              <a:p>
                <a:pPr>
                  <a:defRPr sz="1400" b="1"/>
                </a:pPr>
                <a:endParaRPr lang="en-US"/>
              </a:p>
            </c:txPr>
            <c:showVal val="1"/>
            <c:showCatName val="1"/>
            <c:showLeaderLines val="1"/>
          </c:dLbls>
          <c:cat>
            <c:strRef>
              <c:f>(SASK!$A$263:$A$268,SASK!$A$270,SASK!$A$272:$A$273)</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Sask Assured Income for Disability</c:v>
                </c:pt>
                <c:pt idx="7">
                  <c:v>Workers' Compensation </c:v>
                </c:pt>
                <c:pt idx="8">
                  <c:v>Private Disability Insurance</c:v>
                </c:pt>
              </c:strCache>
            </c:strRef>
          </c:cat>
          <c:val>
            <c:numRef>
              <c:f>(SASK!$L$263:$L$268,SASK!$L$270,SASK!$L$272:$L$273)</c:f>
              <c:numCache>
                <c:formatCode>#,##0.0</c:formatCode>
                <c:ptCount val="9"/>
                <c:pt idx="0">
                  <c:v>78.170375000000007</c:v>
                </c:pt>
                <c:pt idx="1">
                  <c:v>102.4</c:v>
                </c:pt>
                <c:pt idx="2">
                  <c:v>28.3</c:v>
                </c:pt>
                <c:pt idx="3">
                  <c:v>50.199999999999996</c:v>
                </c:pt>
                <c:pt idx="4">
                  <c:v>73.068900000000014</c:v>
                </c:pt>
                <c:pt idx="5">
                  <c:v>82.835999999999999</c:v>
                </c:pt>
                <c:pt idx="6">
                  <c:v>157.5</c:v>
                </c:pt>
                <c:pt idx="7">
                  <c:v>119.2</c:v>
                </c:pt>
                <c:pt idx="8">
                  <c:v>137</c:v>
                </c:pt>
              </c:numCache>
            </c:numRef>
          </c:val>
        </c:ser>
        <c:dLbls>
          <c:showCatName val="1"/>
          <c:showPercent val="1"/>
        </c:dLbls>
        <c:firstSliceAng val="0"/>
      </c:pieChart>
    </c:plotArea>
    <c:plotVisOnly val="1"/>
    <c:dispBlanksAs val="zero"/>
  </c:chart>
</c:chartSpace>
</file>

<file path=xl/charts/chart14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p>
          <a:p>
            <a:pPr>
              <a:defRPr/>
            </a:pPr>
            <a:r>
              <a:rPr lang="en-US" sz="1800" b="1" i="0" baseline="0"/>
              <a:t>SASKATCHEWAN 2005</a:t>
            </a:r>
          </a:p>
          <a:p>
            <a:pPr>
              <a:defRPr/>
            </a:pPr>
            <a:r>
              <a:rPr lang="en-US" sz="1800" b="1" i="0" baseline="0"/>
              <a:t>$586 M</a:t>
            </a:r>
            <a:endParaRPr lang="en-CA"/>
          </a:p>
        </c:rich>
      </c:tx>
    </c:title>
    <c:plotArea>
      <c:layout/>
      <c:pieChart>
        <c:varyColors val="1"/>
        <c:ser>
          <c:idx val="0"/>
          <c:order val="0"/>
          <c:dLbls>
            <c:dLbl>
              <c:idx val="0"/>
              <c:layout>
                <c:manualLayout>
                  <c:x val="9.6050017207384486E-2"/>
                  <c:y val="3.5167219648840981E-2"/>
                </c:manualLayout>
              </c:layout>
              <c:tx>
                <c:rich>
                  <a:bodyPr/>
                  <a:lstStyle/>
                  <a:p>
                    <a:r>
                      <a:rPr lang="en-US" sz="1400"/>
                      <a:t>D</a:t>
                    </a:r>
                    <a:r>
                      <a:rPr lang="en-US"/>
                      <a:t>isability Tax Measures</a:t>
                    </a:r>
                  </a:p>
                  <a:p>
                    <a:r>
                      <a:rPr lang="en-US"/>
                      <a:t>$53</a:t>
                    </a:r>
                    <a:r>
                      <a:rPr lang="en-US" baseline="0"/>
                      <a:t> M</a:t>
                    </a:r>
                    <a:endParaRPr lang="en-US"/>
                  </a:p>
                </c:rich>
              </c:tx>
              <c:showVal val="1"/>
              <c:showCatName val="1"/>
            </c:dLbl>
            <c:dLbl>
              <c:idx val="1"/>
              <c:layout>
                <c:manualLayout>
                  <c:x val="-0.11462909090573582"/>
                  <c:y val="0.1007518481636565"/>
                </c:manualLayout>
              </c:layout>
              <c:tx>
                <c:rich>
                  <a:bodyPr/>
                  <a:lstStyle/>
                  <a:p>
                    <a:r>
                      <a:rPr lang="en-US" sz="1400"/>
                      <a:t>C</a:t>
                    </a:r>
                    <a:r>
                      <a:rPr lang="en-US"/>
                      <a:t>PP-D</a:t>
                    </a:r>
                  </a:p>
                  <a:p>
                    <a:r>
                      <a:rPr lang="en-US"/>
                      <a:t>$81 M</a:t>
                    </a:r>
                  </a:p>
                </c:rich>
              </c:tx>
              <c:showVal val="1"/>
              <c:showCatName val="1"/>
            </c:dLbl>
            <c:dLbl>
              <c:idx val="2"/>
              <c:layout>
                <c:manualLayout>
                  <c:x val="4.4584540848854583E-2"/>
                  <c:y val="-2.4466363199031007E-4"/>
                </c:manualLayout>
              </c:layout>
              <c:tx>
                <c:rich>
                  <a:bodyPr/>
                  <a:lstStyle/>
                  <a:p>
                    <a:r>
                      <a:rPr lang="en-US" sz="1400"/>
                      <a:t>E</a:t>
                    </a:r>
                    <a:r>
                      <a:rPr lang="en-US"/>
                      <a:t>I Sickness</a:t>
                    </a:r>
                  </a:p>
                  <a:p>
                    <a:r>
                      <a:rPr lang="en-US"/>
                      <a:t>$17 M</a:t>
                    </a:r>
                  </a:p>
                </c:rich>
              </c:tx>
              <c:showVal val="1"/>
              <c:showCatName val="1"/>
            </c:dLbl>
            <c:dLbl>
              <c:idx val="3"/>
              <c:layout>
                <c:manualLayout>
                  <c:x val="4.5944985269925284E-2"/>
                  <c:y val="-1.0778068479126376E-2"/>
                </c:manualLayout>
              </c:layout>
              <c:tx>
                <c:rich>
                  <a:bodyPr/>
                  <a:lstStyle/>
                  <a:p>
                    <a:r>
                      <a:rPr lang="en-US" sz="1400"/>
                      <a:t>V</a:t>
                    </a:r>
                    <a:r>
                      <a:rPr lang="en-US"/>
                      <a:t>eterans' Disability Pensions &amp; Awards</a:t>
                    </a:r>
                  </a:p>
                  <a:p>
                    <a:r>
                      <a:rPr lang="en-US"/>
                      <a:t>$60 M</a:t>
                    </a:r>
                  </a:p>
                </c:rich>
              </c:tx>
              <c:showVal val="1"/>
              <c:showCatName val="1"/>
            </c:dLbl>
            <c:dLbl>
              <c:idx val="4"/>
              <c:layout>
                <c:manualLayout>
                  <c:x val="-0.10408114873361955"/>
                  <c:y val="-0.14662198960465528"/>
                </c:manualLayout>
              </c:layout>
              <c:tx>
                <c:rich>
                  <a:bodyPr/>
                  <a:lstStyle/>
                  <a:p>
                    <a:r>
                      <a:rPr lang="en-US" sz="1400"/>
                      <a:t>I</a:t>
                    </a:r>
                    <a:r>
                      <a:rPr lang="en-US"/>
                      <a:t>ncome Asst. for the Disabled</a:t>
                    </a:r>
                  </a:p>
                  <a:p>
                    <a:r>
                      <a:rPr lang="en-US"/>
                      <a:t>$110 M</a:t>
                    </a:r>
                  </a:p>
                </c:rich>
              </c:tx>
              <c:showVal val="1"/>
              <c:showCatName val="1"/>
            </c:dLbl>
            <c:dLbl>
              <c:idx val="5"/>
              <c:tx>
                <c:rich>
                  <a:bodyPr/>
                  <a:lstStyle/>
                  <a:p>
                    <a:r>
                      <a:rPr lang="en-US" sz="1400"/>
                      <a:t>F</a:t>
                    </a:r>
                    <a:r>
                      <a:rPr lang="en-US"/>
                      <a:t>irst Nations SA for Disabled</a:t>
                    </a:r>
                  </a:p>
                  <a:p>
                    <a:r>
                      <a:rPr lang="en-US"/>
                      <a:t>$61 M</a:t>
                    </a:r>
                  </a:p>
                </c:rich>
              </c:tx>
              <c:showVal val="1"/>
              <c:showCatName val="1"/>
            </c:dLbl>
            <c:dLbl>
              <c:idx val="6"/>
              <c:layout>
                <c:manualLayout>
                  <c:x val="0.18690287377160963"/>
                  <c:y val="1.041901665555618E-2"/>
                </c:manualLayout>
              </c:layout>
              <c:tx>
                <c:rich>
                  <a:bodyPr/>
                  <a:lstStyle/>
                  <a:p>
                    <a:r>
                      <a:rPr lang="en-US" sz="1400"/>
                      <a:t>W</a:t>
                    </a:r>
                    <a:r>
                      <a:rPr lang="en-US"/>
                      <a:t>orkers' Compensation</a:t>
                    </a:r>
                  </a:p>
                  <a:p>
                    <a:r>
                      <a:rPr lang="en-CA" sz="1400" b="1" i="0" u="none" strike="noStrike" baseline="0"/>
                      <a:t> </a:t>
                    </a:r>
                    <a:r>
                      <a:rPr lang="en-US"/>
                      <a:t> $113 M</a:t>
                    </a:r>
                  </a:p>
                </c:rich>
              </c:tx>
              <c:showVal val="1"/>
              <c:showCatName val="1"/>
            </c:dLbl>
            <c:dLbl>
              <c:idx val="7"/>
              <c:layout>
                <c:manualLayout>
                  <c:x val="0.10717542167318526"/>
                  <c:y val="0.19407624862654735"/>
                </c:manualLayout>
              </c:layout>
              <c:tx>
                <c:rich>
                  <a:bodyPr/>
                  <a:lstStyle/>
                  <a:p>
                    <a:r>
                      <a:rPr lang="en-US" sz="1400"/>
                      <a:t>P</a:t>
                    </a:r>
                    <a:r>
                      <a:rPr lang="en-US"/>
                      <a:t>rivate Disability Insurance</a:t>
                    </a:r>
                  </a:p>
                  <a:p>
                    <a:r>
                      <a:rPr lang="en-US"/>
                      <a:t>$92</a:t>
                    </a:r>
                    <a:r>
                      <a:rPr lang="en-US" baseline="0"/>
                      <a:t> M</a:t>
                    </a:r>
                    <a:endParaRPr lang="en-US"/>
                  </a:p>
                </c:rich>
              </c:tx>
              <c:showVal val="1"/>
              <c:showCatName val="1"/>
            </c:dLbl>
            <c:txPr>
              <a:bodyPr/>
              <a:lstStyle/>
              <a:p>
                <a:pPr>
                  <a:defRPr sz="1400" b="1"/>
                </a:pPr>
                <a:endParaRPr lang="en-US"/>
              </a:p>
            </c:txPr>
            <c:showVal val="1"/>
            <c:showCatName val="1"/>
            <c:showLeaderLines val="1"/>
          </c:dLbls>
          <c:cat>
            <c:strRef>
              <c:f>(SASK!$A$263:$A$268,SASK!$A$272:$A$273)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(SASK!$B$263:$B$268,SASK!$B$272:$B$273)</c:f>
              <c:numCache>
                <c:formatCode>#,##0.0</c:formatCode>
                <c:ptCount val="8"/>
                <c:pt idx="0">
                  <c:v>53.009999999999991</c:v>
                </c:pt>
                <c:pt idx="1">
                  <c:v>80.5</c:v>
                </c:pt>
                <c:pt idx="2">
                  <c:v>16.600000000000001</c:v>
                </c:pt>
                <c:pt idx="3">
                  <c:v>59.615999999999993</c:v>
                </c:pt>
                <c:pt idx="4">
                  <c:v>110.38500000000001</c:v>
                </c:pt>
                <c:pt idx="5">
                  <c:v>60.775000000000006</c:v>
                </c:pt>
                <c:pt idx="6">
                  <c:v>112.9</c:v>
                </c:pt>
                <c:pt idx="7">
                  <c:v>92</c:v>
                </c:pt>
              </c:numCache>
            </c:numRef>
          </c:val>
        </c:ser>
        <c:dLbls>
          <c:showCatName val="1"/>
          <c:showPercent val="1"/>
        </c:dLbls>
        <c:firstSliceAng val="0"/>
      </c:pieChart>
    </c:plotArea>
    <c:plotVisOnly val="1"/>
    <c:dispBlanksAs val="zero"/>
  </c:chart>
</c:chartSpace>
</file>

<file path=xl/charts/chart14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DISABILITY BENEFIT EXPENDITURES</a:t>
            </a:r>
          </a:p>
          <a:p>
            <a:pPr>
              <a:defRPr/>
            </a:pPr>
            <a:r>
              <a:rPr lang="en-US" sz="1800" b="1" i="0" baseline="0"/>
              <a:t>SASKATCHEWAN 2011-12</a:t>
            </a:r>
          </a:p>
          <a:p>
            <a:pPr>
              <a:defRPr/>
            </a:pPr>
            <a:r>
              <a:rPr lang="en-US" sz="1800" b="1" i="0" baseline="0"/>
              <a:t>$680 M</a:t>
            </a:r>
            <a:endParaRPr lang="en-CA"/>
          </a:p>
        </c:rich>
      </c:tx>
    </c:title>
    <c:plotArea>
      <c:layout/>
      <c:pieChart>
        <c:varyColors val="1"/>
        <c:ser>
          <c:idx val="6"/>
          <c:order val="0"/>
          <c:dLbls>
            <c:dLbl>
              <c:idx val="0"/>
              <c:layout>
                <c:manualLayout>
                  <c:x val="-7.1499738890626593E-2"/>
                  <c:y val="0.14272595957394221"/>
                </c:manualLayout>
              </c:layout>
              <c:tx>
                <c:rich>
                  <a:bodyPr/>
                  <a:lstStyle/>
                  <a:p>
                    <a:r>
                      <a:rPr lang="en-US"/>
                      <a:t>Disability Tax </a:t>
                    </a:r>
                  </a:p>
                  <a:p>
                    <a:r>
                      <a:rPr lang="en-US"/>
                      <a:t>Measure</a:t>
                    </a:r>
                  </a:p>
                  <a:p>
                    <a:r>
                      <a:rPr lang="en-US"/>
                      <a:t>$72</a:t>
                    </a:r>
                    <a:r>
                      <a:rPr lang="en-US" baseline="0"/>
                      <a:t> M</a:t>
                    </a:r>
                    <a:endParaRPr lang="en-US"/>
                  </a:p>
                </c:rich>
              </c:tx>
              <c:showVal val="1"/>
              <c:showCatName val="1"/>
            </c:dLbl>
            <c:dLbl>
              <c:idx val="1"/>
              <c:layout>
                <c:manualLayout>
                  <c:x val="-0.10850149745764356"/>
                  <c:y val="6.5079572874492647E-2"/>
                </c:manualLayout>
              </c:layout>
              <c:tx>
                <c:rich>
                  <a:bodyPr/>
                  <a:lstStyle/>
                  <a:p>
                    <a:r>
                      <a:rPr lang="en-US"/>
                      <a:t>CPP-D</a:t>
                    </a:r>
                  </a:p>
                  <a:p>
                    <a:r>
                      <a:rPr lang="en-US"/>
                      <a:t>$99 M</a:t>
                    </a:r>
                  </a:p>
                </c:rich>
              </c:tx>
              <c:showVal val="1"/>
              <c:showCatName val="1"/>
            </c:dLbl>
            <c:dLbl>
              <c:idx val="2"/>
              <c:layout>
                <c:manualLayout>
                  <c:x val="-0.10590516609047301"/>
                  <c:y val="-1.2566019462515373E-2"/>
                </c:manualLayout>
              </c:layout>
              <c:tx>
                <c:rich>
                  <a:bodyPr/>
                  <a:lstStyle/>
                  <a:p>
                    <a:r>
                      <a:rPr lang="en-US"/>
                      <a:t>EI Sickness</a:t>
                    </a:r>
                  </a:p>
                  <a:p>
                    <a:r>
                      <a:rPr lang="en-US"/>
                      <a:t>$24</a:t>
                    </a:r>
                    <a:r>
                      <a:rPr lang="en-US" baseline="0"/>
                      <a:t> M</a:t>
                    </a:r>
                    <a:endParaRPr lang="en-US"/>
                  </a:p>
                </c:rich>
              </c:tx>
              <c:showVal val="1"/>
              <c:showCatName val="1"/>
            </c:dLbl>
            <c:dLbl>
              <c:idx val="3"/>
              <c:layout>
                <c:manualLayout>
                  <c:x val="3.62594882809869E-2"/>
                  <c:y val="-1.7097062828985207E-2"/>
                </c:manualLayout>
              </c:layout>
              <c:tx>
                <c:rich>
                  <a:bodyPr/>
                  <a:lstStyle/>
                  <a:p>
                    <a:r>
                      <a:rPr lang="en-US"/>
                      <a:t>Veterans' Disability Pensions &amp; Awards</a:t>
                    </a:r>
                  </a:p>
                  <a:p>
                    <a:r>
                      <a:rPr lang="en-US"/>
                      <a:t>$55 M</a:t>
                    </a:r>
                  </a:p>
                </c:rich>
              </c:tx>
              <c:showVal val="1"/>
              <c:showCatName val="1"/>
            </c:dLbl>
            <c:dLbl>
              <c:idx val="4"/>
              <c:layout>
                <c:manualLayout>
                  <c:x val="-6.6655318096724855E-2"/>
                  <c:y val="-0.16175459411574433"/>
                </c:manualLayout>
              </c:layout>
              <c:tx>
                <c:rich>
                  <a:bodyPr/>
                  <a:lstStyle/>
                  <a:p>
                    <a:r>
                      <a:rPr lang="en-US"/>
                      <a:t>Income Asst. for</a:t>
                    </a:r>
                  </a:p>
                  <a:p>
                    <a:r>
                      <a:rPr lang="en-US"/>
                      <a:t> the Disabled</a:t>
                    </a:r>
                  </a:p>
                  <a:p>
                    <a:r>
                      <a:rPr lang="en-US"/>
                      <a:t>$120 M</a:t>
                    </a:r>
                  </a:p>
                </c:rich>
              </c:tx>
              <c:showVal val="1"/>
              <c:showCatName val="1"/>
            </c:dLbl>
            <c:dLbl>
              <c:idx val="5"/>
              <c:tx>
                <c:rich>
                  <a:bodyPr/>
                  <a:lstStyle/>
                  <a:p>
                    <a:r>
                      <a:rPr lang="en-US"/>
                      <a:t>First Nations SA for Disabled </a:t>
                    </a:r>
                  </a:p>
                  <a:p>
                    <a:r>
                      <a:rPr lang="en-US"/>
                      <a:t>$73</a:t>
                    </a:r>
                    <a:r>
                      <a:rPr lang="en-US" baseline="0"/>
                      <a:t> M</a:t>
                    </a:r>
                    <a:endParaRPr lang="en-US"/>
                  </a:p>
                </c:rich>
              </c:tx>
              <c:showVal val="1"/>
              <c:showCatName val="1"/>
            </c:dLbl>
            <c:dLbl>
              <c:idx val="6"/>
              <c:layout>
                <c:manualLayout>
                  <c:x val="0.22056107145262621"/>
                  <c:y val="4.7725295486941379E-4"/>
                </c:manualLayout>
              </c:layout>
              <c:tx>
                <c:rich>
                  <a:bodyPr/>
                  <a:lstStyle/>
                  <a:p>
                    <a:r>
                      <a:rPr lang="en-US"/>
                      <a:t>Workers' Compensation </a:t>
                    </a:r>
                  </a:p>
                  <a:p>
                    <a:r>
                      <a:rPr lang="en-US"/>
                      <a:t>$119 M</a:t>
                    </a:r>
                  </a:p>
                </c:rich>
              </c:tx>
              <c:showVal val="1"/>
              <c:showCatName val="1"/>
            </c:dLbl>
            <c:dLbl>
              <c:idx val="7"/>
              <c:layout>
                <c:manualLayout>
                  <c:x val="0.12259373411315599"/>
                  <c:y val="0.1783070420548187"/>
                </c:manualLayout>
              </c:layout>
              <c:tx>
                <c:rich>
                  <a:bodyPr/>
                  <a:lstStyle/>
                  <a:p>
                    <a:r>
                      <a:rPr lang="en-US"/>
                      <a:t>Private Disability Insurance</a:t>
                    </a:r>
                  </a:p>
                  <a:p>
                    <a:r>
                      <a:rPr lang="en-US"/>
                      <a:t>$116</a:t>
                    </a:r>
                    <a:r>
                      <a:rPr lang="en-US" baseline="0"/>
                      <a:t> M</a:t>
                    </a:r>
                    <a:endParaRPr lang="en-US"/>
                  </a:p>
                </c:rich>
              </c:tx>
              <c:showVal val="1"/>
              <c:showCatName val="1"/>
            </c:dLbl>
            <c:txPr>
              <a:bodyPr/>
              <a:lstStyle/>
              <a:p>
                <a:pPr>
                  <a:defRPr sz="1200" b="1"/>
                </a:pPr>
                <a:endParaRPr lang="en-US"/>
              </a:p>
            </c:txPr>
            <c:showVal val="1"/>
            <c:showCatName val="1"/>
            <c:showLeaderLines val="1"/>
          </c:dLbls>
          <c:cat>
            <c:strRef>
              <c:f>(SASK!$A$263:$A$268,SASK!$A$272:$A$273)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(SASK!$H$263:$H$268,SASK!$H$272:$H$273)</c:f>
              <c:numCache>
                <c:formatCode>#,##0.0</c:formatCode>
                <c:ptCount val="8"/>
                <c:pt idx="0">
                  <c:v>71.562260000000009</c:v>
                </c:pt>
                <c:pt idx="1">
                  <c:v>99.3</c:v>
                </c:pt>
                <c:pt idx="2">
                  <c:v>24.1</c:v>
                </c:pt>
                <c:pt idx="3">
                  <c:v>55.1</c:v>
                </c:pt>
                <c:pt idx="4">
                  <c:v>120.39500000000001</c:v>
                </c:pt>
                <c:pt idx="5">
                  <c:v>72.820000000000007</c:v>
                </c:pt>
                <c:pt idx="6">
                  <c:v>118.7</c:v>
                </c:pt>
                <c:pt idx="7">
                  <c:v>116</c:v>
                </c:pt>
              </c:numCache>
            </c:numRef>
          </c:val>
        </c:ser>
        <c:dLbls>
          <c:showCatName val="1"/>
          <c:showPercent val="1"/>
        </c:dLbls>
        <c:firstSliceAng val="0"/>
      </c:pieChart>
    </c:plotArea>
    <c:plotVisOnly val="1"/>
    <c:dispBlanksAs val="zero"/>
  </c:chart>
</c:chartSpace>
</file>

<file path=xl/charts/chart1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a:t>
            </a:r>
            <a:endParaRPr lang="en-CA" sz="1800" b="1" i="0" baseline="0"/>
          </a:p>
          <a:p>
            <a:pPr>
              <a:defRPr/>
            </a:pPr>
            <a:r>
              <a:rPr lang="en-US" sz="1800" b="1" i="0" baseline="0"/>
              <a:t>ESTIMATED EXPENDITURES BY PROGRAM FOR CANADA</a:t>
            </a:r>
            <a:endParaRPr lang="en-CA"/>
          </a:p>
          <a:p>
            <a:pPr>
              <a:defRPr/>
            </a:pPr>
            <a:r>
              <a:rPr lang="en-US" sz="1800" b="1" i="0" baseline="0"/>
              <a:t>2005 AND 2013 </a:t>
            </a:r>
            <a:endParaRPr lang="en-CA" sz="1800" b="1" i="0" baseline="0"/>
          </a:p>
          <a:p>
            <a:pPr>
              <a:defRPr/>
            </a:pPr>
            <a:r>
              <a:rPr lang="en-US" sz="1800" b="1" i="0" baseline="0"/>
              <a:t>($M)</a:t>
            </a:r>
          </a:p>
        </c:rich>
      </c:tx>
    </c:title>
    <c:plotArea>
      <c:layout>
        <c:manualLayout>
          <c:layoutTarget val="inner"/>
          <c:xMode val="edge"/>
          <c:yMode val="edge"/>
          <c:x val="0.11183865747340238"/>
          <c:y val="0.26225319953304199"/>
          <c:w val="0.87644371339970872"/>
          <c:h val="0.54867630620193708"/>
        </c:manualLayout>
      </c:layout>
      <c:barChart>
        <c:barDir val="col"/>
        <c:grouping val="clustered"/>
        <c:ser>
          <c:idx val="0"/>
          <c:order val="0"/>
          <c:tx>
            <c:strRef>
              <c:f>'CAN &amp; ON input to 2013-14'!$B$42</c:f>
              <c:strCache>
                <c:ptCount val="1"/>
                <c:pt idx="0">
                  <c:v>2005-06</c:v>
                </c:pt>
              </c:strCache>
            </c:strRef>
          </c:tx>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2013-14'!$B$43:$B$49</c:f>
              <c:numCache>
                <c:formatCode>#,##0.0</c:formatCode>
                <c:ptCount val="7"/>
                <c:pt idx="0">
                  <c:v>1710</c:v>
                </c:pt>
                <c:pt idx="1">
                  <c:v>3779.8</c:v>
                </c:pt>
                <c:pt idx="2">
                  <c:v>859.2</c:v>
                </c:pt>
                <c:pt idx="3">
                  <c:v>1656</c:v>
                </c:pt>
                <c:pt idx="4">
                  <c:v>5957.2500000000009</c:v>
                </c:pt>
                <c:pt idx="5">
                  <c:v>4836.8</c:v>
                </c:pt>
                <c:pt idx="6">
                  <c:v>4449</c:v>
                </c:pt>
              </c:numCache>
            </c:numRef>
          </c:val>
        </c:ser>
        <c:ser>
          <c:idx val="10"/>
          <c:order val="1"/>
          <c:tx>
            <c:strRef>
              <c:f>'CAN &amp; ON input to 2013-14'!$L$42</c:f>
              <c:strCache>
                <c:ptCount val="1"/>
                <c:pt idx="0">
                  <c:v>2013-14</c:v>
                </c:pt>
              </c:strCache>
            </c:strRef>
          </c:tx>
          <c:spPr>
            <a:solidFill>
              <a:schemeClr val="accent6"/>
            </a:solidFill>
          </c:spPr>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2013-14'!$L$43:$L$49</c:f>
              <c:numCache>
                <c:formatCode>#,##0.0</c:formatCode>
                <c:ptCount val="7"/>
                <c:pt idx="0">
                  <c:v>2521.625</c:v>
                </c:pt>
                <c:pt idx="1">
                  <c:v>4766.8</c:v>
                </c:pt>
                <c:pt idx="2">
                  <c:v>1276.8</c:v>
                </c:pt>
                <c:pt idx="3">
                  <c:v>2024.3000000000002</c:v>
                </c:pt>
                <c:pt idx="4">
                  <c:v>9024.7106577878094</c:v>
                </c:pt>
                <c:pt idx="5">
                  <c:v>5400.1359999999995</c:v>
                </c:pt>
                <c:pt idx="6">
                  <c:v>6709</c:v>
                </c:pt>
              </c:numCache>
            </c:numRef>
          </c:val>
        </c:ser>
        <c:dLbls/>
        <c:axId val="49646592"/>
        <c:axId val="49656576"/>
      </c:barChart>
      <c:catAx>
        <c:axId val="49646592"/>
        <c:scaling>
          <c:orientation val="minMax"/>
        </c:scaling>
        <c:axPos val="b"/>
        <c:numFmt formatCode="General" sourceLinked="1"/>
        <c:majorTickMark val="none"/>
        <c:tickLblPos val="nextTo"/>
        <c:txPr>
          <a:bodyPr/>
          <a:lstStyle/>
          <a:p>
            <a:pPr>
              <a:defRPr sz="1200" b="1"/>
            </a:pPr>
            <a:endParaRPr lang="en-US"/>
          </a:p>
        </c:txPr>
        <c:crossAx val="49656576"/>
        <c:crosses val="autoZero"/>
        <c:auto val="1"/>
        <c:lblAlgn val="ctr"/>
        <c:lblOffset val="100"/>
      </c:catAx>
      <c:valAx>
        <c:axId val="49656576"/>
        <c:scaling>
          <c:orientation val="minMax"/>
        </c:scaling>
        <c:axPos val="l"/>
        <c:majorGridlines/>
        <c:numFmt formatCode="&quot;$&quot;#,##0" sourceLinked="0"/>
        <c:majorTickMark val="none"/>
        <c:tickLblPos val="nextTo"/>
        <c:crossAx val="49646592"/>
        <c:crosses val="autoZero"/>
        <c:crossBetween val="between"/>
      </c:valAx>
    </c:plotArea>
    <c:legend>
      <c:legendPos val="b"/>
      <c:layout>
        <c:manualLayout>
          <c:xMode val="edge"/>
          <c:yMode val="edge"/>
          <c:x val="0.3339650011948293"/>
          <c:y val="0.95140837283432966"/>
          <c:w val="0.3716168805825969"/>
          <c:h val="3.6485543556799151E-2"/>
        </c:manualLayout>
      </c:layout>
      <c:txPr>
        <a:bodyPr/>
        <a:lstStyle/>
        <a:p>
          <a:pPr>
            <a:defRPr sz="1200" b="1"/>
          </a:pPr>
          <a:endParaRPr lang="en-US"/>
        </a:p>
      </c:txPr>
    </c:legend>
    <c:plotVisOnly val="1"/>
    <c:dispBlanksAs val="gap"/>
  </c:chart>
</c:chartSpace>
</file>

<file path=xl/charts/chart15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SASKATCHEWAN 2010-11</a:t>
            </a:r>
            <a:endParaRPr lang="en-US"/>
          </a:p>
          <a:p>
            <a:pPr>
              <a:defRPr lang="en-US"/>
            </a:pPr>
            <a:r>
              <a:rPr lang="en-US" sz="1800" b="1" i="0" baseline="0"/>
              <a:t>$859 M</a:t>
            </a:r>
          </a:p>
        </c:rich>
      </c:tx>
    </c:title>
    <c:plotArea>
      <c:layout/>
      <c:pieChart>
        <c:varyColors val="1"/>
        <c:ser>
          <c:idx val="4"/>
          <c:order val="0"/>
          <c:dLbls>
            <c:dLbl>
              <c:idx val="0"/>
              <c:tx>
                <c:rich>
                  <a:bodyPr/>
                  <a:lstStyle/>
                  <a:p>
                    <a:r>
                      <a:rPr lang="en-US"/>
                      <a:t>Disability Tax Measures</a:t>
                    </a:r>
                  </a:p>
                  <a:p>
                    <a:r>
                      <a:rPr lang="en-US"/>
                      <a:t>$68</a:t>
                    </a:r>
                    <a:r>
                      <a:rPr lang="en-US" baseline="0"/>
                      <a:t> M</a:t>
                    </a:r>
                    <a:endParaRPr lang="en-US"/>
                  </a:p>
                </c:rich>
              </c:tx>
              <c:showVal val="1"/>
              <c:showCatName val="1"/>
            </c:dLbl>
            <c:dLbl>
              <c:idx val="1"/>
              <c:layout>
                <c:manualLayout>
                  <c:x val="-0.10942000575751171"/>
                  <c:y val="9.1240638414648259E-2"/>
                </c:manualLayout>
              </c:layout>
              <c:tx>
                <c:rich>
                  <a:bodyPr/>
                  <a:lstStyle/>
                  <a:p>
                    <a:r>
                      <a:rPr lang="en-US"/>
                      <a:t>CPP-D</a:t>
                    </a:r>
                  </a:p>
                  <a:p>
                    <a:r>
                      <a:rPr lang="en-US"/>
                      <a:t>$93</a:t>
                    </a:r>
                    <a:r>
                      <a:rPr lang="en-US" baseline="0"/>
                      <a:t> M</a:t>
                    </a:r>
                    <a:endParaRPr lang="en-US"/>
                  </a:p>
                </c:rich>
              </c:tx>
              <c:showVal val="1"/>
              <c:showCatName val="1"/>
            </c:dLbl>
            <c:dLbl>
              <c:idx val="2"/>
              <c:layout>
                <c:manualLayout>
                  <c:x val="2.5741579065158282E-2"/>
                  <c:y val="1.3014877274469064E-3"/>
                </c:manualLayout>
              </c:layout>
              <c:tx>
                <c:rich>
                  <a:bodyPr/>
                  <a:lstStyle/>
                  <a:p>
                    <a:r>
                      <a:rPr lang="en-US"/>
                      <a:t>EI Sickness</a:t>
                    </a:r>
                  </a:p>
                  <a:p>
                    <a:r>
                      <a:rPr lang="en-US"/>
                      <a:t> $23</a:t>
                    </a:r>
                    <a:r>
                      <a:rPr lang="en-US" baseline="0"/>
                      <a:t> M</a:t>
                    </a:r>
                    <a:endParaRPr lang="en-US"/>
                  </a:p>
                </c:rich>
              </c:tx>
              <c:showVal val="1"/>
              <c:showCatName val="1"/>
            </c:dLbl>
            <c:dLbl>
              <c:idx val="3"/>
              <c:tx>
                <c:rich>
                  <a:bodyPr/>
                  <a:lstStyle/>
                  <a:p>
                    <a:r>
                      <a:rPr lang="en-US"/>
                      <a:t>Veterans' Disability Pensions &amp; Awards $61</a:t>
                    </a:r>
                    <a:r>
                      <a:rPr lang="en-US" baseline="0"/>
                      <a:t> M</a:t>
                    </a:r>
                    <a:endParaRPr lang="en-US"/>
                  </a:p>
                </c:rich>
              </c:tx>
              <c:showVal val="1"/>
              <c:showCatName val="1"/>
            </c:dLbl>
            <c:dLbl>
              <c:idx val="4"/>
              <c:layout>
                <c:manualLayout>
                  <c:x val="-8.7311961861220033E-2"/>
                  <c:y val="-0.15501068013526936"/>
                </c:manualLayout>
              </c:layout>
              <c:tx>
                <c:rich>
                  <a:bodyPr/>
                  <a:lstStyle/>
                  <a:p>
                    <a:r>
                      <a:rPr lang="en-US"/>
                      <a:t>Income Asst. for the Disabled</a:t>
                    </a:r>
                  </a:p>
                  <a:p>
                    <a:r>
                      <a:rPr lang="en-US"/>
                      <a:t>$119</a:t>
                    </a:r>
                    <a:r>
                      <a:rPr lang="en-US" baseline="0"/>
                      <a:t> M</a:t>
                    </a:r>
                    <a:endParaRPr lang="en-US"/>
                  </a:p>
                </c:rich>
              </c:tx>
              <c:showVal val="1"/>
              <c:showCatName val="1"/>
            </c:dLbl>
            <c:dLbl>
              <c:idx val="5"/>
              <c:layout>
                <c:manualLayout>
                  <c:x val="0.12020035582242621"/>
                  <c:y val="-0.14224705347940175"/>
                </c:manualLayout>
              </c:layout>
              <c:tx>
                <c:rich>
                  <a:bodyPr/>
                  <a:lstStyle/>
                  <a:p>
                    <a:r>
                      <a:rPr lang="en-US"/>
                      <a:t>First Nations SA</a:t>
                    </a:r>
                  </a:p>
                  <a:p>
                    <a:r>
                      <a:rPr lang="en-US"/>
                      <a:t> for Disabled</a:t>
                    </a:r>
                  </a:p>
                  <a:p>
                    <a:r>
                      <a:rPr lang="en-US"/>
                      <a:t>$74</a:t>
                    </a:r>
                    <a:r>
                      <a:rPr lang="en-US" baseline="0"/>
                      <a:t> M</a:t>
                    </a:r>
                    <a:endParaRPr lang="en-US"/>
                  </a:p>
                </c:rich>
              </c:tx>
              <c:showVal val="1"/>
              <c:showCatName val="1"/>
            </c:dLbl>
            <c:dLbl>
              <c:idx val="6"/>
              <c:layout>
                <c:manualLayout>
                  <c:x val="0.20699447597092552"/>
                  <c:y val="2.1679928614985772E-2"/>
                </c:manualLayout>
              </c:layout>
              <c:tx>
                <c:rich>
                  <a:bodyPr/>
                  <a:lstStyle/>
                  <a:p>
                    <a:r>
                      <a:rPr lang="en-US"/>
                      <a:t>Workers' Compensation</a:t>
                    </a:r>
                  </a:p>
                  <a:p>
                    <a:r>
                      <a:rPr lang="en-US"/>
                      <a:t>$121</a:t>
                    </a:r>
                    <a:r>
                      <a:rPr lang="en-US" baseline="0"/>
                      <a:t> M</a:t>
                    </a:r>
                    <a:endParaRPr lang="en-US"/>
                  </a:p>
                </c:rich>
              </c:tx>
              <c:showVal val="1"/>
              <c:showCatName val="1"/>
            </c:dLbl>
            <c:dLbl>
              <c:idx val="7"/>
              <c:layout>
                <c:manualLayout>
                  <c:x val="0.11283884434001946"/>
                  <c:y val="0.17105580176247068"/>
                </c:manualLayout>
              </c:layout>
              <c:tx>
                <c:rich>
                  <a:bodyPr/>
                  <a:lstStyle/>
                  <a:p>
                    <a:r>
                      <a:rPr lang="en-US"/>
                      <a:t>Private Disability Insurance</a:t>
                    </a:r>
                  </a:p>
                  <a:p>
                    <a:r>
                      <a:rPr lang="en-US"/>
                      <a:t> $109</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(SASK!$A$263:$A$268,SASK!$A$272:$A$273)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(SASK!$F$263:$F$268,SASK!$F$272:$F$273)</c:f>
              <c:numCache>
                <c:formatCode>#,##0.0</c:formatCode>
                <c:ptCount val="8"/>
                <c:pt idx="0">
                  <c:v>67.9024</c:v>
                </c:pt>
                <c:pt idx="1">
                  <c:v>93</c:v>
                </c:pt>
                <c:pt idx="2">
                  <c:v>22.5</c:v>
                </c:pt>
                <c:pt idx="3">
                  <c:v>60.5</c:v>
                </c:pt>
                <c:pt idx="4">
                  <c:v>118.52500000000001</c:v>
                </c:pt>
                <c:pt idx="5">
                  <c:v>73.81</c:v>
                </c:pt>
                <c:pt idx="6">
                  <c:v>121.1</c:v>
                </c:pt>
                <c:pt idx="7">
                  <c:v>109</c:v>
                </c:pt>
              </c:numCache>
            </c:numRef>
          </c:val>
        </c:ser>
        <c:dLbls>
          <c:showCatName val="1"/>
          <c:showPercent val="1"/>
        </c:dLbls>
        <c:firstSliceAng val="0"/>
      </c:pieChart>
    </c:plotArea>
    <c:plotVisOnly val="1"/>
    <c:dispBlanksAs val="zero"/>
  </c:chart>
</c:chartSpace>
</file>

<file path=xl/charts/chart15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p>
          <a:p>
            <a:pPr>
              <a:defRPr lang="en-US"/>
            </a:pPr>
            <a:r>
              <a:rPr lang="en-US" sz="1800" b="1" i="0" baseline="0"/>
              <a:t>SASKATCHEWAN 2009-10</a:t>
            </a:r>
          </a:p>
          <a:p>
            <a:pPr>
              <a:defRPr lang="en-US"/>
            </a:pPr>
            <a:r>
              <a:rPr lang="en-US" sz="1800" b="1" i="0" baseline="0"/>
              <a:t>$675 M</a:t>
            </a:r>
            <a:endParaRPr lang="en-US"/>
          </a:p>
        </c:rich>
      </c:tx>
    </c:title>
    <c:plotArea>
      <c:layout/>
      <c:pieChart>
        <c:varyColors val="1"/>
        <c:ser>
          <c:idx val="2"/>
          <c:order val="0"/>
          <c:dLbls>
            <c:dLbl>
              <c:idx val="0"/>
              <c:tx>
                <c:rich>
                  <a:bodyPr/>
                  <a:lstStyle/>
                  <a:p>
                    <a:r>
                      <a:rPr lang="en-US"/>
                      <a:t>Disability Tax Measures</a:t>
                    </a:r>
                  </a:p>
                  <a:p>
                    <a:r>
                      <a:rPr lang="en-US"/>
                      <a:t>$64</a:t>
                    </a:r>
                    <a:r>
                      <a:rPr lang="en-US" baseline="0"/>
                      <a:t> M</a:t>
                    </a:r>
                    <a:endParaRPr lang="en-US"/>
                  </a:p>
                </c:rich>
              </c:tx>
              <c:showVal val="1"/>
              <c:showCatName val="1"/>
            </c:dLbl>
            <c:dLbl>
              <c:idx val="1"/>
              <c:layout>
                <c:manualLayout>
                  <c:x val="-9.9626764447536265E-2"/>
                  <c:y val="7.6081163314171835E-2"/>
                </c:manualLayout>
              </c:layout>
              <c:tx>
                <c:rich>
                  <a:bodyPr/>
                  <a:lstStyle/>
                  <a:p>
                    <a:r>
                      <a:rPr lang="en-US"/>
                      <a:t>CPP-D</a:t>
                    </a:r>
                  </a:p>
                  <a:p>
                    <a:r>
                      <a:rPr lang="en-US"/>
                      <a:t>$90</a:t>
                    </a:r>
                    <a:r>
                      <a:rPr lang="en-US" baseline="0"/>
                      <a:t> M</a:t>
                    </a:r>
                    <a:endParaRPr lang="en-US"/>
                  </a:p>
                </c:rich>
              </c:tx>
              <c:showVal val="1"/>
              <c:showCatName val="1"/>
            </c:dLbl>
            <c:dLbl>
              <c:idx val="2"/>
              <c:layout>
                <c:manualLayout>
                  <c:x val="1.9325228105039303E-2"/>
                  <c:y val="2.6115462277330552E-3"/>
                </c:manualLayout>
              </c:layout>
              <c:tx>
                <c:rich>
                  <a:bodyPr/>
                  <a:lstStyle/>
                  <a:p>
                    <a:r>
                      <a:rPr lang="en-US"/>
                      <a:t>EI Sickness</a:t>
                    </a:r>
                  </a:p>
                  <a:p>
                    <a:r>
                      <a:rPr lang="en-US"/>
                      <a:t>$23</a:t>
                    </a:r>
                    <a:r>
                      <a:rPr lang="en-US" baseline="0"/>
                      <a:t> M</a:t>
                    </a:r>
                    <a:endParaRPr lang="en-US"/>
                  </a:p>
                </c:rich>
              </c:tx>
              <c:showVal val="1"/>
              <c:showCatName val="1"/>
            </c:dLbl>
            <c:dLbl>
              <c:idx val="3"/>
              <c:tx>
                <c:rich>
                  <a:bodyPr/>
                  <a:lstStyle/>
                  <a:p>
                    <a:r>
                      <a:rPr lang="en-US"/>
                      <a:t>Veterans' Disability Pensions &amp; Awards $69</a:t>
                    </a:r>
                    <a:r>
                      <a:rPr lang="en-US" baseline="0"/>
                      <a:t> M</a:t>
                    </a:r>
                    <a:endParaRPr lang="en-US"/>
                  </a:p>
                </c:rich>
              </c:tx>
              <c:showVal val="1"/>
              <c:showCatName val="1"/>
            </c:dLbl>
            <c:dLbl>
              <c:idx val="4"/>
              <c:layout>
                <c:manualLayout>
                  <c:x val="-8.5406832168578528E-2"/>
                  <c:y val="-0.1585381880306973"/>
                </c:manualLayout>
              </c:layout>
              <c:tx>
                <c:rich>
                  <a:bodyPr/>
                  <a:lstStyle/>
                  <a:p>
                    <a:r>
                      <a:rPr lang="en-US"/>
                      <a:t>Income Asst. for the Disabled</a:t>
                    </a:r>
                  </a:p>
                  <a:p>
                    <a:r>
                      <a:rPr lang="en-US"/>
                      <a:t>$129 M</a:t>
                    </a:r>
                  </a:p>
                </c:rich>
              </c:tx>
              <c:showVal val="1"/>
              <c:showCatName val="1"/>
            </c:dLbl>
            <c:dLbl>
              <c:idx val="5"/>
              <c:layout>
                <c:manualLayout>
                  <c:x val="0.11892819499751192"/>
                  <c:y val="-0.12643239041076798"/>
                </c:manualLayout>
              </c:layout>
              <c:tx>
                <c:rich>
                  <a:bodyPr/>
                  <a:lstStyle/>
                  <a:p>
                    <a:r>
                      <a:rPr lang="en-US"/>
                      <a:t>First Nations SA for Disabled</a:t>
                    </a:r>
                  </a:p>
                  <a:p>
                    <a:r>
                      <a:rPr lang="en-US"/>
                      <a:t>$74</a:t>
                    </a:r>
                    <a:r>
                      <a:rPr lang="en-US" baseline="0"/>
                      <a:t> M</a:t>
                    </a:r>
                    <a:endParaRPr lang="en-US"/>
                  </a:p>
                </c:rich>
              </c:tx>
              <c:showVal val="1"/>
              <c:showCatName val="1"/>
            </c:dLbl>
            <c:dLbl>
              <c:idx val="6"/>
              <c:layout>
                <c:manualLayout>
                  <c:x val="0.21549452471845706"/>
                  <c:y val="3.0857162991656851E-2"/>
                </c:manualLayout>
              </c:layout>
              <c:tx>
                <c:rich>
                  <a:bodyPr/>
                  <a:lstStyle/>
                  <a:p>
                    <a:r>
                      <a:rPr lang="en-US"/>
                      <a:t>Worker's Compensation $121</a:t>
                    </a:r>
                    <a:r>
                      <a:rPr lang="en-US" baseline="0"/>
                      <a:t> M</a:t>
                    </a:r>
                    <a:endParaRPr lang="en-US"/>
                  </a:p>
                </c:rich>
              </c:tx>
              <c:showVal val="1"/>
              <c:showCatName val="1"/>
            </c:dLbl>
            <c:dLbl>
              <c:idx val="7"/>
              <c:layout>
                <c:manualLayout>
                  <c:x val="0.10596175427509154"/>
                  <c:y val="0.17815462372561267"/>
                </c:manualLayout>
              </c:layout>
              <c:tx>
                <c:rich>
                  <a:bodyPr/>
                  <a:lstStyle/>
                  <a:p>
                    <a:r>
                      <a:rPr lang="en-US"/>
                      <a:t>Private Disability Insurance</a:t>
                    </a:r>
                  </a:p>
                  <a:p>
                    <a:r>
                      <a:rPr lang="en-US"/>
                      <a:t>$105</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(SASK!$A$263:$A$268,SASK!$A$272:$A$273)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(SASK!$D$263:$D$268,SASK!$D$272:$D$273)</c:f>
              <c:numCache>
                <c:formatCode>#,##0.0</c:formatCode>
                <c:ptCount val="8"/>
                <c:pt idx="0">
                  <c:v>63.503500000000003</c:v>
                </c:pt>
                <c:pt idx="1">
                  <c:v>90</c:v>
                </c:pt>
                <c:pt idx="2">
                  <c:v>23.1</c:v>
                </c:pt>
                <c:pt idx="3">
                  <c:v>69.026800000000009</c:v>
                </c:pt>
                <c:pt idx="4">
                  <c:v>129.03</c:v>
                </c:pt>
                <c:pt idx="5">
                  <c:v>73.7</c:v>
                </c:pt>
                <c:pt idx="6">
                  <c:v>121.4</c:v>
                </c:pt>
                <c:pt idx="7">
                  <c:v>105</c:v>
                </c:pt>
              </c:numCache>
            </c:numRef>
          </c:val>
        </c:ser>
        <c:dLbls>
          <c:showCatName val="1"/>
          <c:showPercent val="1"/>
        </c:dLbls>
        <c:firstSliceAng val="0"/>
      </c:pieChart>
    </c:plotArea>
    <c:plotVisOnly val="1"/>
    <c:dispBlanksAs val="zero"/>
  </c:chart>
  <c:userShapes r:id="rId1"/>
</c:chartSpace>
</file>

<file path=xl/charts/chart15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p>
          <a:p>
            <a:pPr>
              <a:defRPr/>
            </a:pPr>
            <a:r>
              <a:rPr lang="en-US" sz="1800" b="1" i="0" baseline="0"/>
              <a:t>PERCENTAGE CHANGE IN EXPENDITURES FROM 2005 TO 2013</a:t>
            </a:r>
          </a:p>
          <a:p>
            <a:pPr>
              <a:defRPr/>
            </a:pPr>
            <a:r>
              <a:rPr lang="en-US" sz="1800" b="1" i="0" baseline="0"/>
              <a:t>SASKATCHEWAN</a:t>
            </a:r>
          </a:p>
          <a:p>
            <a:pPr>
              <a:defRPr/>
            </a:pPr>
            <a:endParaRPr lang="en-CA"/>
          </a:p>
        </c:rich>
      </c:tx>
    </c:title>
    <c:plotArea>
      <c:layout/>
      <c:barChart>
        <c:barDir val="col"/>
        <c:grouping val="clustered"/>
        <c:ser>
          <c:idx val="0"/>
          <c:order val="0"/>
          <c:spPr>
            <a:solidFill>
              <a:schemeClr val="accent6"/>
            </a:solidFill>
          </c:spPr>
          <c:dLbls>
            <c:dLbl>
              <c:idx val="3"/>
              <c:layout>
                <c:manualLayout>
                  <c:x val="0"/>
                  <c:y val="0.13114923909610451"/>
                </c:manualLayout>
              </c:layout>
              <c:showVal val="1"/>
            </c:dLbl>
            <c:dLbl>
              <c:idx val="4"/>
              <c:layout>
                <c:manualLayout>
                  <c:x val="-1.1533099534339584E-7"/>
                  <c:y val="0.21790982270465795"/>
                </c:manualLayout>
              </c:layout>
              <c:showVal val="1"/>
            </c:dLbl>
            <c:dLbl>
              <c:idx val="6"/>
              <c:layout>
                <c:manualLayout>
                  <c:x val="0"/>
                  <c:y val="9.6848668870969462E-2"/>
                </c:manualLayout>
              </c:layout>
              <c:showVal val="1"/>
            </c:dLbl>
            <c:txPr>
              <a:bodyPr/>
              <a:lstStyle/>
              <a:p>
                <a:pPr>
                  <a:defRPr sz="1200" b="1"/>
                </a:pPr>
                <a:endParaRPr lang="en-US"/>
              </a:p>
            </c:txPr>
            <c:showVal val="1"/>
          </c:dLbls>
          <c:cat>
            <c:strRef>
              <c:f>(SASK!$A$263:$A$269,SASK!$A$271:$A$273)</c:f>
              <c:strCache>
                <c:ptCount val="10"/>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Income Asst. And SAID</c:v>
                </c:pt>
                <c:pt idx="8">
                  <c:v>Workers' Compensation </c:v>
                </c:pt>
                <c:pt idx="9">
                  <c:v>Private Disability Insurance</c:v>
                </c:pt>
              </c:strCache>
            </c:strRef>
          </c:cat>
          <c:val>
            <c:numRef>
              <c:f>(SASK!$M$263:$M$269,SASK!$M$271:$M$273)</c:f>
              <c:numCache>
                <c:formatCode>0.0%</c:formatCode>
                <c:ptCount val="10"/>
                <c:pt idx="0">
                  <c:v>0.47463450292397702</c:v>
                </c:pt>
                <c:pt idx="1">
                  <c:v>0.27204968944099384</c:v>
                </c:pt>
                <c:pt idx="2">
                  <c:v>0.70481927710843362</c:v>
                </c:pt>
                <c:pt idx="3">
                  <c:v>-0.15794417606011807</c:v>
                </c:pt>
                <c:pt idx="4">
                  <c:v>-0.33805408343524929</c:v>
                </c:pt>
                <c:pt idx="5">
                  <c:v>0.36299465240641698</c:v>
                </c:pt>
                <c:pt idx="6">
                  <c:v>-8.9127716756251613E-2</c:v>
                </c:pt>
                <c:pt idx="7">
                  <c:v>0.83106391680299108</c:v>
                </c:pt>
                <c:pt idx="8">
                  <c:v>5.580159433126658E-2</c:v>
                </c:pt>
                <c:pt idx="9">
                  <c:v>0.4891304347826087</c:v>
                </c:pt>
              </c:numCache>
            </c:numRef>
          </c:val>
        </c:ser>
        <c:dLbls/>
        <c:gapWidth val="50"/>
        <c:axId val="94975872"/>
        <c:axId val="94977408"/>
      </c:barChart>
      <c:catAx>
        <c:axId val="94975872"/>
        <c:scaling>
          <c:orientation val="minMax"/>
        </c:scaling>
        <c:axPos val="b"/>
        <c:majorTickMark val="none"/>
        <c:tickLblPos val="low"/>
        <c:txPr>
          <a:bodyPr/>
          <a:lstStyle/>
          <a:p>
            <a:pPr>
              <a:defRPr sz="1050" b="1"/>
            </a:pPr>
            <a:endParaRPr lang="en-US"/>
          </a:p>
        </c:txPr>
        <c:crossAx val="94977408"/>
        <c:crosses val="autoZero"/>
        <c:auto val="1"/>
        <c:lblAlgn val="ctr"/>
        <c:lblOffset val="100"/>
      </c:catAx>
      <c:valAx>
        <c:axId val="94977408"/>
        <c:scaling>
          <c:orientation val="minMax"/>
        </c:scaling>
        <c:axPos val="l"/>
        <c:majorGridlines/>
        <c:numFmt formatCode="0%" sourceLinked="0"/>
        <c:majorTickMark val="none"/>
        <c:tickLblPos val="nextTo"/>
        <c:crossAx val="94975872"/>
        <c:crosses val="autoZero"/>
        <c:crossBetween val="between"/>
      </c:valAx>
    </c:plotArea>
    <c:plotVisOnly val="1"/>
    <c:dispBlanksAs val="gap"/>
  </c:chart>
  <c:userShapes r:id="rId1"/>
</c:chartSpace>
</file>

<file path=xl/charts/chart15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2010-11 </a:t>
            </a:r>
            <a:endParaRPr lang="en-US"/>
          </a:p>
          <a:p>
            <a:pPr>
              <a:defRPr lang="en-US"/>
            </a:pPr>
            <a:r>
              <a:rPr lang="en-US" sz="1800" b="1" i="0" baseline="0"/>
              <a:t>Saskatchewan</a:t>
            </a:r>
            <a:endParaRPr lang="en-US"/>
          </a:p>
        </c:rich>
      </c:tx>
    </c:title>
    <c:plotArea>
      <c:layout>
        <c:manualLayout>
          <c:layoutTarget val="inner"/>
          <c:xMode val="edge"/>
          <c:yMode val="edge"/>
          <c:x val="5.1321588289159656E-2"/>
          <c:y val="0.21382252976835717"/>
          <c:w val="0.93550620568785758"/>
          <c:h val="0.6300668742486687"/>
        </c:manualLayout>
      </c:layout>
      <c:barChart>
        <c:barDir val="col"/>
        <c:grouping val="clustered"/>
        <c:ser>
          <c:idx val="5"/>
          <c:order val="0"/>
          <c:spPr>
            <a:solidFill>
              <a:srgbClr val="9BBB59"/>
            </a:solidFill>
          </c:spPr>
          <c:dLbls>
            <c:dLbl>
              <c:idx val="0"/>
              <c:layout>
                <c:manualLayout>
                  <c:x val="0"/>
                  <c:y val="6.0471563921617524E-3"/>
                </c:manualLayout>
              </c:layout>
              <c:showVal val="1"/>
            </c:dLbl>
            <c:dLbl>
              <c:idx val="8"/>
              <c:layout>
                <c:manualLayout>
                  <c:x val="1.4635784469980641E-3"/>
                  <c:y val="-1.209431278432337E-2"/>
                </c:manualLayout>
              </c:layout>
              <c:showVal val="1"/>
            </c:dLbl>
            <c:txPr>
              <a:bodyPr/>
              <a:lstStyle/>
              <a:p>
                <a:pPr>
                  <a:defRPr lang="en-US" sz="1200" b="1" i="0" baseline="0"/>
                </a:pPr>
                <a:endParaRPr lang="en-US"/>
              </a:p>
            </c:txPr>
            <c:showVal val="1"/>
          </c:dLbls>
          <c:cat>
            <c:strRef>
              <c:f>SASK!$A$263:$A$273</c:f>
              <c:strCache>
                <c:ptCount val="11"/>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Sask Assured Income for Disability</c:v>
                </c:pt>
                <c:pt idx="8">
                  <c:v>Income Asst. And SAID</c:v>
                </c:pt>
                <c:pt idx="9">
                  <c:v>Workers' Compensation </c:v>
                </c:pt>
                <c:pt idx="10">
                  <c:v>Private Disability Insurance</c:v>
                </c:pt>
              </c:strCache>
            </c:strRef>
          </c:cat>
          <c:val>
            <c:numRef>
              <c:f>SASK!$G$263:$G$273</c:f>
              <c:numCache>
                <c:formatCode>0.0%</c:formatCode>
                <c:ptCount val="11"/>
                <c:pt idx="0">
                  <c:v>0.28093567251462009</c:v>
                </c:pt>
                <c:pt idx="1">
                  <c:v>0.15527950310559005</c:v>
                </c:pt>
                <c:pt idx="2">
                  <c:v>0.35542168674698782</c:v>
                </c:pt>
                <c:pt idx="3">
                  <c:v>1.4828234031132708E-2</c:v>
                </c:pt>
                <c:pt idx="4">
                  <c:v>7.3741903338315901E-2</c:v>
                </c:pt>
                <c:pt idx="5">
                  <c:v>0.21447963800904971</c:v>
                </c:pt>
                <c:pt idx="6">
                  <c:v>0.12371465295629808</c:v>
                </c:pt>
                <c:pt idx="8">
                  <c:v>0.12371465295629808</c:v>
                </c:pt>
                <c:pt idx="9">
                  <c:v>7.2630646589902467E-2</c:v>
                </c:pt>
                <c:pt idx="10">
                  <c:v>0.18478260869565216</c:v>
                </c:pt>
              </c:numCache>
            </c:numRef>
          </c:val>
        </c:ser>
        <c:dLbls/>
        <c:gapWidth val="50"/>
        <c:axId val="95006080"/>
        <c:axId val="95052928"/>
      </c:barChart>
      <c:catAx>
        <c:axId val="95006080"/>
        <c:scaling>
          <c:orientation val="minMax"/>
        </c:scaling>
        <c:axPos val="b"/>
        <c:majorTickMark val="none"/>
        <c:tickLblPos val="nextTo"/>
        <c:txPr>
          <a:bodyPr/>
          <a:lstStyle/>
          <a:p>
            <a:pPr>
              <a:defRPr lang="en-US" sz="1100" b="1" i="0" baseline="0"/>
            </a:pPr>
            <a:endParaRPr lang="en-US"/>
          </a:p>
        </c:txPr>
        <c:crossAx val="95052928"/>
        <c:crosses val="autoZero"/>
        <c:auto val="1"/>
        <c:lblAlgn val="ctr"/>
        <c:lblOffset val="100"/>
      </c:catAx>
      <c:valAx>
        <c:axId val="95052928"/>
        <c:scaling>
          <c:orientation val="minMax"/>
        </c:scaling>
        <c:axPos val="l"/>
        <c:majorGridlines/>
        <c:numFmt formatCode="0%" sourceLinked="0"/>
        <c:majorTickMark val="none"/>
        <c:tickLblPos val="nextTo"/>
        <c:txPr>
          <a:bodyPr/>
          <a:lstStyle/>
          <a:p>
            <a:pPr>
              <a:defRPr lang="en-US"/>
            </a:pPr>
            <a:endParaRPr lang="en-US"/>
          </a:p>
        </c:txPr>
        <c:crossAx val="95006080"/>
        <c:crosses val="autoZero"/>
        <c:crossBetween val="between"/>
      </c:valAx>
    </c:plotArea>
    <c:plotVisOnly val="1"/>
    <c:dispBlanksAs val="gap"/>
  </c:chart>
</c:chartSpace>
</file>

<file path=xl/charts/chart15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2009-10 </a:t>
            </a:r>
          </a:p>
          <a:p>
            <a:pPr>
              <a:defRPr lang="en-US"/>
            </a:pPr>
            <a:r>
              <a:rPr lang="en-US" sz="1800" b="1" i="0" baseline="0"/>
              <a:t>Saskatchewan</a:t>
            </a:r>
            <a:endParaRPr lang="en-US"/>
          </a:p>
        </c:rich>
      </c:tx>
    </c:title>
    <c:plotArea>
      <c:layout/>
      <c:barChart>
        <c:barDir val="col"/>
        <c:grouping val="clustered"/>
        <c:ser>
          <c:idx val="3"/>
          <c:order val="0"/>
          <c:spPr>
            <a:solidFill>
              <a:srgbClr val="4F81BD"/>
            </a:solidFill>
          </c:spPr>
          <c:dLbls>
            <c:dLbl>
              <c:idx val="6"/>
              <c:layout>
                <c:manualLayout>
                  <c:x val="0"/>
                  <c:y val="-1.0078593986936162E-2"/>
                </c:manualLayout>
              </c:layout>
              <c:showVal val="1"/>
            </c:dLbl>
            <c:dLbl>
              <c:idx val="7"/>
              <c:layout>
                <c:manualLayout>
                  <c:x val="-1.1524239729409534E-7"/>
                  <c:y val="0"/>
                </c:manualLayout>
              </c:layout>
              <c:showVal val="1"/>
            </c:dLbl>
            <c:txPr>
              <a:bodyPr/>
              <a:lstStyle/>
              <a:p>
                <a:pPr>
                  <a:defRPr lang="en-US" sz="1200" b="1" i="0" baseline="0"/>
                </a:pPr>
                <a:endParaRPr lang="en-US"/>
              </a:p>
            </c:txPr>
            <c:showVal val="1"/>
          </c:dLbls>
          <c:cat>
            <c:strRef>
              <c:f>SASK!$A$263:$A$273</c:f>
              <c:strCache>
                <c:ptCount val="11"/>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Sask Assured Income for Disability</c:v>
                </c:pt>
                <c:pt idx="8">
                  <c:v>Income Asst. And SAID</c:v>
                </c:pt>
                <c:pt idx="9">
                  <c:v>Workers' Compensation </c:v>
                </c:pt>
                <c:pt idx="10">
                  <c:v>Private Disability Insurance</c:v>
                </c:pt>
              </c:strCache>
            </c:strRef>
          </c:cat>
          <c:val>
            <c:numRef>
              <c:f>SASK!$E$263:$E$273</c:f>
              <c:numCache>
                <c:formatCode>0.0%</c:formatCode>
                <c:ptCount val="11"/>
                <c:pt idx="0">
                  <c:v>0.19795321637426927</c:v>
                </c:pt>
                <c:pt idx="1">
                  <c:v>0.11801242236024845</c:v>
                </c:pt>
                <c:pt idx="2">
                  <c:v>0.39156626506024095</c:v>
                </c:pt>
                <c:pt idx="3">
                  <c:v>0.1578569511540529</c:v>
                </c:pt>
                <c:pt idx="4">
                  <c:v>0.16890881913303435</c:v>
                </c:pt>
                <c:pt idx="5">
                  <c:v>0.21266968325791849</c:v>
                </c:pt>
                <c:pt idx="6">
                  <c:v>0.18444730077120816</c:v>
                </c:pt>
                <c:pt idx="8">
                  <c:v>0.18444730077120816</c:v>
                </c:pt>
                <c:pt idx="9">
                  <c:v>7.5287865367581933E-2</c:v>
                </c:pt>
                <c:pt idx="10">
                  <c:v>0.14130434782608695</c:v>
                </c:pt>
              </c:numCache>
            </c:numRef>
          </c:val>
        </c:ser>
        <c:dLbls/>
        <c:gapWidth val="50"/>
        <c:axId val="95102080"/>
        <c:axId val="95103616"/>
      </c:barChart>
      <c:catAx>
        <c:axId val="95102080"/>
        <c:scaling>
          <c:orientation val="minMax"/>
        </c:scaling>
        <c:axPos val="b"/>
        <c:majorTickMark val="none"/>
        <c:tickLblPos val="nextTo"/>
        <c:txPr>
          <a:bodyPr/>
          <a:lstStyle/>
          <a:p>
            <a:pPr>
              <a:defRPr lang="en-US" sz="1100" b="1" baseline="0"/>
            </a:pPr>
            <a:endParaRPr lang="en-US"/>
          </a:p>
        </c:txPr>
        <c:crossAx val="95103616"/>
        <c:crosses val="autoZero"/>
        <c:auto val="1"/>
        <c:lblAlgn val="ctr"/>
        <c:lblOffset val="100"/>
      </c:catAx>
      <c:valAx>
        <c:axId val="95103616"/>
        <c:scaling>
          <c:orientation val="minMax"/>
        </c:scaling>
        <c:axPos val="l"/>
        <c:majorGridlines/>
        <c:numFmt formatCode="0%" sourceLinked="0"/>
        <c:majorTickMark val="none"/>
        <c:tickLblPos val="nextTo"/>
        <c:txPr>
          <a:bodyPr/>
          <a:lstStyle/>
          <a:p>
            <a:pPr>
              <a:defRPr lang="en-US"/>
            </a:pPr>
            <a:endParaRPr lang="en-US"/>
          </a:p>
        </c:txPr>
        <c:crossAx val="95102080"/>
        <c:crosses val="autoZero"/>
        <c:crossBetween val="between"/>
      </c:valAx>
    </c:plotArea>
    <c:plotVisOnly val="1"/>
    <c:dispBlanksAs val="gap"/>
  </c:chart>
</c:chartSpace>
</file>

<file path=xl/charts/chart15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endParaRPr lang="en-CA"/>
          </a:p>
          <a:p>
            <a:pPr>
              <a:defRPr/>
            </a:pPr>
            <a:r>
              <a:rPr lang="en-US" sz="1800" b="1" i="0" baseline="0"/>
              <a:t>Percentage Change in Expenditures from 2005-06 to </a:t>
            </a:r>
            <a:endParaRPr lang="en-CA"/>
          </a:p>
          <a:p>
            <a:pPr>
              <a:defRPr/>
            </a:pPr>
            <a:r>
              <a:rPr lang="en-US" sz="1800" b="1" i="0" baseline="0"/>
              <a:t>2009-10, 2010-11 and 2011-12</a:t>
            </a:r>
          </a:p>
          <a:p>
            <a:pPr>
              <a:defRPr/>
            </a:pPr>
            <a:r>
              <a:rPr lang="en-US" sz="1800" b="1" i="0" baseline="0"/>
              <a:t>Saskatchewan</a:t>
            </a:r>
            <a:endParaRPr lang="en-CA"/>
          </a:p>
        </c:rich>
      </c:tx>
    </c:title>
    <c:plotArea>
      <c:layout/>
      <c:barChart>
        <c:barDir val="col"/>
        <c:grouping val="clustered"/>
        <c:ser>
          <c:idx val="3"/>
          <c:order val="0"/>
          <c:spPr>
            <a:solidFill>
              <a:schemeClr val="accent1"/>
            </a:solidFill>
          </c:spPr>
          <c:cat>
            <c:strRef>
              <c:f>SASK!$A$263:$A$273</c:f>
              <c:strCache>
                <c:ptCount val="11"/>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Sask Assured Income for Disability</c:v>
                </c:pt>
                <c:pt idx="8">
                  <c:v>Income Asst. And SAID</c:v>
                </c:pt>
                <c:pt idx="9">
                  <c:v>Workers' Compensation </c:v>
                </c:pt>
                <c:pt idx="10">
                  <c:v>Private Disability Insurance</c:v>
                </c:pt>
              </c:strCache>
            </c:strRef>
          </c:cat>
          <c:val>
            <c:numRef>
              <c:f>SASK!$E$263:$E$273</c:f>
              <c:numCache>
                <c:formatCode>0.0%</c:formatCode>
                <c:ptCount val="11"/>
                <c:pt idx="0">
                  <c:v>0.19795321637426927</c:v>
                </c:pt>
                <c:pt idx="1">
                  <c:v>0.11801242236024845</c:v>
                </c:pt>
                <c:pt idx="2">
                  <c:v>0.39156626506024095</c:v>
                </c:pt>
                <c:pt idx="3">
                  <c:v>0.1578569511540529</c:v>
                </c:pt>
                <c:pt idx="4">
                  <c:v>0.16890881913303435</c:v>
                </c:pt>
                <c:pt idx="5">
                  <c:v>0.21266968325791849</c:v>
                </c:pt>
                <c:pt idx="6">
                  <c:v>0.18444730077120816</c:v>
                </c:pt>
                <c:pt idx="8">
                  <c:v>0.18444730077120816</c:v>
                </c:pt>
                <c:pt idx="9">
                  <c:v>7.5287865367581933E-2</c:v>
                </c:pt>
                <c:pt idx="10">
                  <c:v>0.14130434782608695</c:v>
                </c:pt>
              </c:numCache>
            </c:numRef>
          </c:val>
        </c:ser>
        <c:ser>
          <c:idx val="5"/>
          <c:order val="1"/>
          <c:spPr>
            <a:solidFill>
              <a:schemeClr val="accent3"/>
            </a:solidFill>
          </c:spPr>
          <c:cat>
            <c:strRef>
              <c:f>SASK!$A$263:$A$273</c:f>
              <c:strCache>
                <c:ptCount val="11"/>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Sask Assured Income for Disability</c:v>
                </c:pt>
                <c:pt idx="8">
                  <c:v>Income Asst. And SAID</c:v>
                </c:pt>
                <c:pt idx="9">
                  <c:v>Workers' Compensation </c:v>
                </c:pt>
                <c:pt idx="10">
                  <c:v>Private Disability Insurance</c:v>
                </c:pt>
              </c:strCache>
            </c:strRef>
          </c:cat>
          <c:val>
            <c:numRef>
              <c:f>SASK!$G$263:$G$273</c:f>
              <c:numCache>
                <c:formatCode>0.0%</c:formatCode>
                <c:ptCount val="11"/>
                <c:pt idx="0">
                  <c:v>0.28093567251462009</c:v>
                </c:pt>
                <c:pt idx="1">
                  <c:v>0.15527950310559005</c:v>
                </c:pt>
                <c:pt idx="2">
                  <c:v>0.35542168674698782</c:v>
                </c:pt>
                <c:pt idx="3">
                  <c:v>1.4828234031132708E-2</c:v>
                </c:pt>
                <c:pt idx="4">
                  <c:v>7.3741903338315901E-2</c:v>
                </c:pt>
                <c:pt idx="5">
                  <c:v>0.21447963800904971</c:v>
                </c:pt>
                <c:pt idx="6">
                  <c:v>0.12371465295629808</c:v>
                </c:pt>
                <c:pt idx="8">
                  <c:v>0.12371465295629808</c:v>
                </c:pt>
                <c:pt idx="9">
                  <c:v>7.2630646589902467E-2</c:v>
                </c:pt>
                <c:pt idx="10">
                  <c:v>0.18478260869565216</c:v>
                </c:pt>
              </c:numCache>
            </c:numRef>
          </c:val>
        </c:ser>
        <c:ser>
          <c:idx val="7"/>
          <c:order val="2"/>
          <c:spPr>
            <a:solidFill>
              <a:schemeClr val="accent6">
                <a:lumMod val="75000"/>
              </a:schemeClr>
            </a:solidFill>
          </c:spPr>
          <c:cat>
            <c:strRef>
              <c:f>SASK!$A$263:$A$273</c:f>
              <c:strCache>
                <c:ptCount val="11"/>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Sask Assured Income for Disability</c:v>
                </c:pt>
                <c:pt idx="8">
                  <c:v>Income Asst. And SAID</c:v>
                </c:pt>
                <c:pt idx="9">
                  <c:v>Workers' Compensation </c:v>
                </c:pt>
                <c:pt idx="10">
                  <c:v>Private Disability Insurance</c:v>
                </c:pt>
              </c:strCache>
            </c:strRef>
          </c:cat>
          <c:val>
            <c:numRef>
              <c:f>SASK!$I$263:$I$273</c:f>
              <c:numCache>
                <c:formatCode>0.0%</c:formatCode>
                <c:ptCount val="11"/>
                <c:pt idx="0">
                  <c:v>0.34997660818713489</c:v>
                </c:pt>
                <c:pt idx="1">
                  <c:v>0.23354037267080741</c:v>
                </c:pt>
                <c:pt idx="2">
                  <c:v>0.45180722891566261</c:v>
                </c:pt>
                <c:pt idx="3">
                  <c:v>-7.5751476113794819E-2</c:v>
                </c:pt>
                <c:pt idx="4">
                  <c:v>9.0682610861983107E-2</c:v>
                </c:pt>
                <c:pt idx="5">
                  <c:v>0.1981900452488688</c:v>
                </c:pt>
                <c:pt idx="6">
                  <c:v>0.12885604113110541</c:v>
                </c:pt>
                <c:pt idx="8">
                  <c:v>0.12885604113110541</c:v>
                </c:pt>
                <c:pt idx="9">
                  <c:v>5.137289636846764E-2</c:v>
                </c:pt>
                <c:pt idx="10">
                  <c:v>0.2608695652173913</c:v>
                </c:pt>
              </c:numCache>
            </c:numRef>
          </c:val>
        </c:ser>
        <c:dLbls/>
        <c:gapWidth val="75"/>
        <c:axId val="95192192"/>
        <c:axId val="95193728"/>
      </c:barChart>
      <c:catAx>
        <c:axId val="95192192"/>
        <c:scaling>
          <c:orientation val="minMax"/>
        </c:scaling>
        <c:axPos val="b"/>
        <c:majorTickMark val="none"/>
        <c:tickLblPos val="low"/>
        <c:txPr>
          <a:bodyPr/>
          <a:lstStyle/>
          <a:p>
            <a:pPr>
              <a:defRPr sz="1150" b="1"/>
            </a:pPr>
            <a:endParaRPr lang="en-US"/>
          </a:p>
        </c:txPr>
        <c:crossAx val="95193728"/>
        <c:crosses val="autoZero"/>
        <c:auto val="1"/>
        <c:lblAlgn val="ctr"/>
        <c:lblOffset val="100"/>
      </c:catAx>
      <c:valAx>
        <c:axId val="95193728"/>
        <c:scaling>
          <c:orientation val="minMax"/>
        </c:scaling>
        <c:axPos val="l"/>
        <c:majorGridlines/>
        <c:numFmt formatCode="0%" sourceLinked="0"/>
        <c:majorTickMark val="none"/>
        <c:tickLblPos val="nextTo"/>
        <c:crossAx val="95192192"/>
        <c:crosses val="autoZero"/>
        <c:crossBetween val="between"/>
      </c:valAx>
    </c:plotArea>
    <c:plotVisOnly val="1"/>
    <c:dispBlanksAs val="gap"/>
  </c:chart>
  <c:userShapes r:id="rId1"/>
</c:chartSpace>
</file>

<file path=xl/charts/chart15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a:t>
            </a:r>
          </a:p>
          <a:p>
            <a:pPr>
              <a:defRPr lang="en-US"/>
            </a:pPr>
            <a:r>
              <a:rPr lang="en-US" sz="1800" b="1" i="0" baseline="0"/>
              <a:t>2009-10 and 2010-11</a:t>
            </a:r>
            <a:endParaRPr lang="en-US"/>
          </a:p>
          <a:p>
            <a:pPr>
              <a:defRPr lang="en-US"/>
            </a:pPr>
            <a:r>
              <a:rPr lang="en-US" sz="1800" b="1" i="0" baseline="0"/>
              <a:t>Saskatchewan</a:t>
            </a:r>
          </a:p>
        </c:rich>
      </c:tx>
    </c:title>
    <c:plotArea>
      <c:layout>
        <c:manualLayout>
          <c:layoutTarget val="inner"/>
          <c:xMode val="edge"/>
          <c:yMode val="edge"/>
          <c:x val="5.4248745183155277E-2"/>
          <c:y val="0.20762411510738391"/>
          <c:w val="0.93550620568785758"/>
          <c:h val="0.64683432156460463"/>
        </c:manualLayout>
      </c:layout>
      <c:barChart>
        <c:barDir val="col"/>
        <c:grouping val="clustered"/>
        <c:ser>
          <c:idx val="3"/>
          <c:order val="0"/>
          <c:spPr>
            <a:solidFill>
              <a:schemeClr val="accent1"/>
            </a:solidFill>
          </c:spPr>
          <c:cat>
            <c:strRef>
              <c:f>SASK!$A$263:$A$273</c:f>
              <c:strCache>
                <c:ptCount val="11"/>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Sask Assured Income for Disability</c:v>
                </c:pt>
                <c:pt idx="8">
                  <c:v>Income Asst. And SAID</c:v>
                </c:pt>
                <c:pt idx="9">
                  <c:v>Workers' Compensation </c:v>
                </c:pt>
                <c:pt idx="10">
                  <c:v>Private Disability Insurance</c:v>
                </c:pt>
              </c:strCache>
            </c:strRef>
          </c:cat>
          <c:val>
            <c:numRef>
              <c:f>SASK!$E$263:$E$273</c:f>
              <c:numCache>
                <c:formatCode>0.0%</c:formatCode>
                <c:ptCount val="11"/>
                <c:pt idx="0">
                  <c:v>0.19795321637426927</c:v>
                </c:pt>
                <c:pt idx="1">
                  <c:v>0.11801242236024845</c:v>
                </c:pt>
                <c:pt idx="2">
                  <c:v>0.39156626506024095</c:v>
                </c:pt>
                <c:pt idx="3">
                  <c:v>0.1578569511540529</c:v>
                </c:pt>
                <c:pt idx="4">
                  <c:v>0.16890881913303435</c:v>
                </c:pt>
                <c:pt idx="5">
                  <c:v>0.21266968325791849</c:v>
                </c:pt>
                <c:pt idx="6">
                  <c:v>0.18444730077120816</c:v>
                </c:pt>
                <c:pt idx="8">
                  <c:v>0.18444730077120816</c:v>
                </c:pt>
                <c:pt idx="9">
                  <c:v>7.5287865367581933E-2</c:v>
                </c:pt>
                <c:pt idx="10">
                  <c:v>0.14130434782608695</c:v>
                </c:pt>
              </c:numCache>
            </c:numRef>
          </c:val>
        </c:ser>
        <c:ser>
          <c:idx val="5"/>
          <c:order val="1"/>
          <c:spPr>
            <a:solidFill>
              <a:schemeClr val="accent3"/>
            </a:solidFill>
          </c:spPr>
          <c:cat>
            <c:strRef>
              <c:f>SASK!$A$263:$A$273</c:f>
              <c:strCache>
                <c:ptCount val="11"/>
                <c:pt idx="0">
                  <c:v>Disability Tax Measures</c:v>
                </c:pt>
                <c:pt idx="1">
                  <c:v>CPP-D</c:v>
                </c:pt>
                <c:pt idx="2">
                  <c:v>EI Sickness</c:v>
                </c:pt>
                <c:pt idx="3">
                  <c:v>Veterans' Disability Pensions &amp; Awards</c:v>
                </c:pt>
                <c:pt idx="4">
                  <c:v>Income Asst. for the Disabled</c:v>
                </c:pt>
                <c:pt idx="5">
                  <c:v>First Nations SA for Disabled </c:v>
                </c:pt>
                <c:pt idx="6">
                  <c:v>Income Asst. for the Disabled &amp; FN SA</c:v>
                </c:pt>
                <c:pt idx="7">
                  <c:v>Sask Assured Income for Disability</c:v>
                </c:pt>
                <c:pt idx="8">
                  <c:v>Income Asst. And SAID</c:v>
                </c:pt>
                <c:pt idx="9">
                  <c:v>Workers' Compensation </c:v>
                </c:pt>
                <c:pt idx="10">
                  <c:v>Private Disability Insurance</c:v>
                </c:pt>
              </c:strCache>
            </c:strRef>
          </c:cat>
          <c:val>
            <c:numRef>
              <c:f>SASK!$G$263:$G$273</c:f>
              <c:numCache>
                <c:formatCode>0.0%</c:formatCode>
                <c:ptCount val="11"/>
                <c:pt idx="0">
                  <c:v>0.28093567251462009</c:v>
                </c:pt>
                <c:pt idx="1">
                  <c:v>0.15527950310559005</c:v>
                </c:pt>
                <c:pt idx="2">
                  <c:v>0.35542168674698782</c:v>
                </c:pt>
                <c:pt idx="3">
                  <c:v>1.4828234031132708E-2</c:v>
                </c:pt>
                <c:pt idx="4">
                  <c:v>7.3741903338315901E-2</c:v>
                </c:pt>
                <c:pt idx="5">
                  <c:v>0.21447963800904971</c:v>
                </c:pt>
                <c:pt idx="6">
                  <c:v>0.12371465295629808</c:v>
                </c:pt>
                <c:pt idx="8">
                  <c:v>0.12371465295629808</c:v>
                </c:pt>
                <c:pt idx="9">
                  <c:v>7.2630646589902467E-2</c:v>
                </c:pt>
                <c:pt idx="10">
                  <c:v>0.18478260869565216</c:v>
                </c:pt>
              </c:numCache>
            </c:numRef>
          </c:val>
        </c:ser>
        <c:dLbls/>
        <c:gapWidth val="75"/>
        <c:axId val="95264768"/>
        <c:axId val="95266304"/>
      </c:barChart>
      <c:catAx>
        <c:axId val="95264768"/>
        <c:scaling>
          <c:orientation val="minMax"/>
        </c:scaling>
        <c:axPos val="b"/>
        <c:majorTickMark val="none"/>
        <c:tickLblPos val="nextTo"/>
        <c:txPr>
          <a:bodyPr/>
          <a:lstStyle/>
          <a:p>
            <a:pPr>
              <a:defRPr lang="en-US" sz="1100" b="1" i="0" baseline="0"/>
            </a:pPr>
            <a:endParaRPr lang="en-US"/>
          </a:p>
        </c:txPr>
        <c:crossAx val="95266304"/>
        <c:crosses val="autoZero"/>
        <c:auto val="1"/>
        <c:lblAlgn val="ctr"/>
        <c:lblOffset val="100"/>
      </c:catAx>
      <c:valAx>
        <c:axId val="95266304"/>
        <c:scaling>
          <c:orientation val="minMax"/>
        </c:scaling>
        <c:axPos val="l"/>
        <c:majorGridlines/>
        <c:numFmt formatCode="0%" sourceLinked="0"/>
        <c:majorTickMark val="none"/>
        <c:tickLblPos val="nextTo"/>
        <c:txPr>
          <a:bodyPr/>
          <a:lstStyle/>
          <a:p>
            <a:pPr>
              <a:defRPr lang="en-US"/>
            </a:pPr>
            <a:endParaRPr lang="en-US"/>
          </a:p>
        </c:txPr>
        <c:crossAx val="95264768"/>
        <c:crosses val="autoZero"/>
        <c:crossBetween val="between"/>
      </c:valAx>
    </c:plotArea>
    <c:plotVisOnly val="1"/>
    <c:dispBlanksAs val="gap"/>
  </c:chart>
  <c:userShapes r:id="rId1"/>
</c:chartSpace>
</file>

<file path=xl/charts/chart15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a:t>
            </a:r>
            <a:endParaRPr lang="en-CA"/>
          </a:p>
          <a:p>
            <a:pPr>
              <a:defRPr/>
            </a:pPr>
            <a:r>
              <a:rPr lang="en-US" sz="1800" b="1" i="0" baseline="0"/>
              <a:t>PERCENTAGE INCREASE FROM 2005-06 TO </a:t>
            </a:r>
            <a:endParaRPr lang="en-CA"/>
          </a:p>
          <a:p>
            <a:pPr>
              <a:defRPr/>
            </a:pPr>
            <a:r>
              <a:rPr lang="en-US" sz="1800" b="1" i="0" baseline="0"/>
              <a:t>2009-10, 2010-11 AND 2011-12</a:t>
            </a:r>
            <a:endParaRPr lang="en-CA"/>
          </a:p>
          <a:p>
            <a:pPr>
              <a:defRPr/>
            </a:pPr>
            <a:r>
              <a:rPr lang="en-US" sz="1800" b="1" i="0" baseline="0"/>
              <a:t>SASKATCHEWAN</a:t>
            </a:r>
            <a:endParaRPr lang="en-CA"/>
          </a:p>
        </c:rich>
      </c:tx>
    </c:title>
    <c:plotArea>
      <c:layout>
        <c:manualLayout>
          <c:layoutTarget val="inner"/>
          <c:xMode val="edge"/>
          <c:yMode val="edge"/>
          <c:x val="5.4290451423968933E-2"/>
          <c:y val="0.2179145888793087"/>
          <c:w val="0.93545662309000344"/>
          <c:h val="0.70620838732350344"/>
        </c:manualLayout>
      </c:layout>
      <c:barChart>
        <c:barDir val="col"/>
        <c:grouping val="clustered"/>
        <c:ser>
          <c:idx val="0"/>
          <c:order val="0"/>
          <c:tx>
            <c:strRef>
              <c:f>SASK!$E$276</c:f>
              <c:strCache>
                <c:ptCount val="1"/>
                <c:pt idx="0">
                  <c:v>2009-10</c:v>
                </c:pt>
              </c:strCache>
            </c:strRef>
          </c:tx>
          <c:dLbls>
            <c:dLbl>
              <c:idx val="0"/>
              <c:layout>
                <c:manualLayout>
                  <c:x val="1.3426294939522432E-17"/>
                  <c:y val="6.0530418044355931E-3"/>
                </c:manualLayout>
              </c:layout>
              <c:showVal val="1"/>
            </c:dLbl>
            <c:dLbl>
              <c:idx val="1"/>
              <c:layout>
                <c:manualLayout>
                  <c:x val="-1.1533099534339646E-7"/>
                  <c:y val="1.4123605337861425E-2"/>
                </c:manualLayout>
              </c:layout>
              <c:showVal val="1"/>
            </c:dLbl>
            <c:dLbl>
              <c:idx val="2"/>
              <c:layout>
                <c:manualLayout>
                  <c:x val="0"/>
                  <c:y val="-6.0530418044355931E-3"/>
                </c:manualLayout>
              </c:layout>
              <c:showVal val="1"/>
            </c:dLbl>
            <c:txPr>
              <a:bodyPr/>
              <a:lstStyle/>
              <a:p>
                <a:pPr>
                  <a:defRPr sz="1400" b="1"/>
                </a:pPr>
                <a:endParaRPr lang="en-US"/>
              </a:p>
            </c:txPr>
            <c:showVal val="1"/>
          </c:dLbls>
          <c:cat>
            <c:strRef>
              <c:f>SASK!$A$277:$A$279</c:f>
              <c:strCache>
                <c:ptCount val="3"/>
                <c:pt idx="0">
                  <c:v>Income Assistance for the Disabled (IAD) &amp; FN SA and SAID</c:v>
                </c:pt>
                <c:pt idx="1">
                  <c:v>Total Income Support for the Disabled</c:v>
                </c:pt>
                <c:pt idx="2">
                  <c:v>Total Income Support for the Disabled excl. IAD &amp; FN SA and SAID</c:v>
                </c:pt>
              </c:strCache>
            </c:strRef>
          </c:cat>
          <c:val>
            <c:numRef>
              <c:f>SASK!$E$277:$E$279</c:f>
              <c:numCache>
                <c:formatCode>0.0%</c:formatCode>
                <c:ptCount val="3"/>
                <c:pt idx="0">
                  <c:v>0.18444730077120816</c:v>
                </c:pt>
                <c:pt idx="1">
                  <c:v>0.15188874435373984</c:v>
                </c:pt>
                <c:pt idx="2">
                  <c:v>0.13844838480944238</c:v>
                </c:pt>
              </c:numCache>
            </c:numRef>
          </c:val>
        </c:ser>
        <c:ser>
          <c:idx val="1"/>
          <c:order val="1"/>
          <c:tx>
            <c:strRef>
              <c:f>SASK!$G$276</c:f>
              <c:strCache>
                <c:ptCount val="1"/>
                <c:pt idx="0">
                  <c:v>2010-11</c:v>
                </c:pt>
              </c:strCache>
            </c:strRef>
          </c:tx>
          <c:spPr>
            <a:solidFill>
              <a:schemeClr val="accent3"/>
            </a:solidFill>
          </c:spPr>
          <c:dLbls>
            <c:dLbl>
              <c:idx val="1"/>
              <c:layout>
                <c:manualLayout>
                  <c:x val="0"/>
                  <c:y val="-6.0530418044355931E-3"/>
                </c:manualLayout>
              </c:layout>
              <c:showVal val="1"/>
            </c:dLbl>
            <c:dLbl>
              <c:idx val="2"/>
              <c:layout>
                <c:manualLayout>
                  <c:x val="0"/>
                  <c:y val="-4.0353612029571766E-3"/>
                </c:manualLayout>
              </c:layout>
              <c:showVal val="1"/>
            </c:dLbl>
            <c:txPr>
              <a:bodyPr/>
              <a:lstStyle/>
              <a:p>
                <a:pPr>
                  <a:defRPr sz="1400" b="1"/>
                </a:pPr>
                <a:endParaRPr lang="en-US"/>
              </a:p>
            </c:txPr>
            <c:showVal val="1"/>
          </c:dLbls>
          <c:cat>
            <c:strRef>
              <c:f>SASK!$A$277:$A$279</c:f>
              <c:strCache>
                <c:ptCount val="3"/>
                <c:pt idx="0">
                  <c:v>Income Assistance for the Disabled (IAD) &amp; FN SA and SAID</c:v>
                </c:pt>
                <c:pt idx="1">
                  <c:v>Total Income Support for the Disabled</c:v>
                </c:pt>
                <c:pt idx="2">
                  <c:v>Total Income Support for the Disabled excl. IAD &amp; FN SA and SAID</c:v>
                </c:pt>
              </c:strCache>
            </c:strRef>
          </c:cat>
          <c:val>
            <c:numRef>
              <c:f>SASK!$G$277:$G$279</c:f>
              <c:numCache>
                <c:formatCode>0.0%</c:formatCode>
                <c:ptCount val="3"/>
                <c:pt idx="0">
                  <c:v>0.12371465295629808</c:v>
                </c:pt>
                <c:pt idx="1">
                  <c:v>0.13750994390442897</c:v>
                </c:pt>
                <c:pt idx="2">
                  <c:v>0.14320471943389901</c:v>
                </c:pt>
              </c:numCache>
            </c:numRef>
          </c:val>
        </c:ser>
        <c:ser>
          <c:idx val="2"/>
          <c:order val="2"/>
          <c:tx>
            <c:strRef>
              <c:f>SASK!$I$276</c:f>
              <c:strCache>
                <c:ptCount val="1"/>
                <c:pt idx="0">
                  <c:v>2011-12</c:v>
                </c:pt>
              </c:strCache>
            </c:strRef>
          </c:tx>
          <c:spPr>
            <a:solidFill>
              <a:schemeClr val="accent6">
                <a:lumMod val="75000"/>
              </a:schemeClr>
            </a:solidFill>
          </c:spPr>
          <c:dLbls>
            <c:dLbl>
              <c:idx val="2"/>
              <c:layout>
                <c:manualLayout>
                  <c:x val="-1.1533099523598585E-7"/>
                  <c:y val="1.2106083608871186E-2"/>
                </c:manualLayout>
              </c:layout>
              <c:showVal val="1"/>
            </c:dLbl>
            <c:txPr>
              <a:bodyPr/>
              <a:lstStyle/>
              <a:p>
                <a:pPr>
                  <a:defRPr sz="1400" b="1"/>
                </a:pPr>
                <a:endParaRPr lang="en-US"/>
              </a:p>
            </c:txPr>
            <c:showVal val="1"/>
          </c:dLbls>
          <c:cat>
            <c:strRef>
              <c:f>SASK!$A$277:$A$279</c:f>
              <c:strCache>
                <c:ptCount val="3"/>
                <c:pt idx="0">
                  <c:v>Income Assistance for the Disabled (IAD) &amp; FN SA and SAID</c:v>
                </c:pt>
                <c:pt idx="1">
                  <c:v>Total Income Support for the Disabled</c:v>
                </c:pt>
                <c:pt idx="2">
                  <c:v>Total Income Support for the Disabled excl. IAD &amp; FN SA and SAID</c:v>
                </c:pt>
              </c:strCache>
            </c:strRef>
          </c:cat>
          <c:val>
            <c:numRef>
              <c:f>SASK!$I$277:$I$279</c:f>
              <c:numCache>
                <c:formatCode>0.0%</c:formatCode>
                <c:ptCount val="3"/>
                <c:pt idx="0">
                  <c:v>0.12885604113110541</c:v>
                </c:pt>
                <c:pt idx="1">
                  <c:v>0.15738044268726092</c:v>
                </c:pt>
                <c:pt idx="2">
                  <c:v>0.16915547987825127</c:v>
                </c:pt>
              </c:numCache>
            </c:numRef>
          </c:val>
        </c:ser>
        <c:dLbls/>
        <c:gapWidth val="75"/>
        <c:axId val="94572544"/>
        <c:axId val="94574080"/>
      </c:barChart>
      <c:catAx>
        <c:axId val="94572544"/>
        <c:scaling>
          <c:orientation val="minMax"/>
        </c:scaling>
        <c:delete val="1"/>
        <c:axPos val="b"/>
        <c:majorTickMark val="none"/>
        <c:tickLblPos val="none"/>
        <c:crossAx val="94574080"/>
        <c:crosses val="autoZero"/>
        <c:auto val="1"/>
        <c:lblAlgn val="ctr"/>
        <c:lblOffset val="100"/>
      </c:catAx>
      <c:valAx>
        <c:axId val="94574080"/>
        <c:scaling>
          <c:orientation val="minMax"/>
        </c:scaling>
        <c:axPos val="l"/>
        <c:majorGridlines/>
        <c:numFmt formatCode="0%" sourceLinked="0"/>
        <c:majorTickMark val="none"/>
        <c:tickLblPos val="nextTo"/>
        <c:crossAx val="94572544"/>
        <c:crosses val="autoZero"/>
        <c:crossBetween val="between"/>
      </c:valAx>
    </c:plotArea>
    <c:legend>
      <c:legendPos val="b"/>
      <c:layout>
        <c:manualLayout>
          <c:xMode val="edge"/>
          <c:yMode val="edge"/>
          <c:x val="0.31396487663735739"/>
          <c:y val="0.94652431479884513"/>
          <c:w val="0.40575843046509724"/>
          <c:h val="4.1369601592283624E-2"/>
        </c:manualLayout>
      </c:layout>
      <c:txPr>
        <a:bodyPr/>
        <a:lstStyle/>
        <a:p>
          <a:pPr>
            <a:defRPr sz="1200" b="1"/>
          </a:pPr>
          <a:endParaRPr lang="en-US"/>
        </a:p>
      </c:txPr>
    </c:legend>
    <c:plotVisOnly val="1"/>
    <c:dispBlanksAs val="gap"/>
  </c:chart>
  <c:userShapes r:id="rId1"/>
</c:chartSpace>
</file>

<file path=xl/charts/chart15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a:t>
            </a:r>
          </a:p>
          <a:p>
            <a:pPr>
              <a:defRPr lang="en-US"/>
            </a:pPr>
            <a:r>
              <a:rPr lang="en-US" sz="1800" b="1" i="0" baseline="0"/>
              <a:t>2009-10 TO 2010-11</a:t>
            </a:r>
          </a:p>
          <a:p>
            <a:pPr>
              <a:defRPr lang="en-US"/>
            </a:pPr>
            <a:r>
              <a:rPr lang="en-US" sz="1800" b="1" i="0" baseline="0"/>
              <a:t>SASKATCHEWAN</a:t>
            </a:r>
            <a:endParaRPr lang="en-US"/>
          </a:p>
        </c:rich>
      </c:tx>
    </c:title>
    <c:plotArea>
      <c:layout/>
      <c:barChart>
        <c:barDir val="col"/>
        <c:grouping val="clustered"/>
        <c:ser>
          <c:idx val="0"/>
          <c:order val="0"/>
          <c:tx>
            <c:strRef>
              <c:f>SASK!$E$276</c:f>
              <c:strCache>
                <c:ptCount val="1"/>
                <c:pt idx="0">
                  <c:v>2009-10</c:v>
                </c:pt>
              </c:strCache>
            </c:strRef>
          </c:tx>
          <c:dLbls>
            <c:dLbl>
              <c:idx val="1"/>
              <c:layout>
                <c:manualLayout>
                  <c:x val="1.4635784469981161E-3"/>
                  <c:y val="8.0628751895490246E-3"/>
                </c:manualLayout>
              </c:layout>
              <c:showVal val="1"/>
            </c:dLbl>
            <c:dLbl>
              <c:idx val="2"/>
              <c:layout>
                <c:manualLayout>
                  <c:x val="0"/>
                  <c:y val="0"/>
                </c:manualLayout>
              </c:layout>
              <c:showVal val="1"/>
            </c:dLbl>
            <c:txPr>
              <a:bodyPr/>
              <a:lstStyle/>
              <a:p>
                <a:pPr>
                  <a:defRPr lang="en-US" sz="1400" b="1" i="0" baseline="0"/>
                </a:pPr>
                <a:endParaRPr lang="en-US"/>
              </a:p>
            </c:txPr>
            <c:showVal val="1"/>
          </c:dLbls>
          <c:cat>
            <c:strRef>
              <c:f>SASK!$A$277:$A$279</c:f>
              <c:strCache>
                <c:ptCount val="3"/>
                <c:pt idx="0">
                  <c:v>Income Assistance for the Disabled (IAD) &amp; FN SA and SAID</c:v>
                </c:pt>
                <c:pt idx="1">
                  <c:v>Total Income Support for the Disabled</c:v>
                </c:pt>
                <c:pt idx="2">
                  <c:v>Total Income Support for the Disabled excl. IAD &amp; FN SA and SAID</c:v>
                </c:pt>
              </c:strCache>
            </c:strRef>
          </c:cat>
          <c:val>
            <c:numRef>
              <c:f>SASK!$E$277:$E$279</c:f>
              <c:numCache>
                <c:formatCode>0.0%</c:formatCode>
                <c:ptCount val="3"/>
                <c:pt idx="0">
                  <c:v>0.18444730077120816</c:v>
                </c:pt>
                <c:pt idx="1">
                  <c:v>0.15188874435373984</c:v>
                </c:pt>
                <c:pt idx="2">
                  <c:v>0.13844838480944238</c:v>
                </c:pt>
              </c:numCache>
            </c:numRef>
          </c:val>
        </c:ser>
        <c:ser>
          <c:idx val="1"/>
          <c:order val="1"/>
          <c:tx>
            <c:strRef>
              <c:f>SASK!$G$276</c:f>
              <c:strCache>
                <c:ptCount val="1"/>
                <c:pt idx="0">
                  <c:v>2010-11</c:v>
                </c:pt>
              </c:strCache>
            </c:strRef>
          </c:tx>
          <c:spPr>
            <a:solidFill>
              <a:srgbClr val="9BBB59"/>
            </a:solidFill>
          </c:spPr>
          <c:dLbls>
            <c:dLbl>
              <c:idx val="2"/>
              <c:layout>
                <c:manualLayout>
                  <c:x val="0"/>
                  <c:y val="-4.0314375947745236E-3"/>
                </c:manualLayout>
              </c:layout>
              <c:showVal val="1"/>
            </c:dLbl>
            <c:txPr>
              <a:bodyPr/>
              <a:lstStyle/>
              <a:p>
                <a:pPr>
                  <a:defRPr lang="en-US" sz="1400" b="1" i="0" baseline="0"/>
                </a:pPr>
                <a:endParaRPr lang="en-US"/>
              </a:p>
            </c:txPr>
            <c:showVal val="1"/>
          </c:dLbls>
          <c:cat>
            <c:strRef>
              <c:f>SASK!$A$277:$A$279</c:f>
              <c:strCache>
                <c:ptCount val="3"/>
                <c:pt idx="0">
                  <c:v>Income Assistance for the Disabled (IAD) &amp; FN SA and SAID</c:v>
                </c:pt>
                <c:pt idx="1">
                  <c:v>Total Income Support for the Disabled</c:v>
                </c:pt>
                <c:pt idx="2">
                  <c:v>Total Income Support for the Disabled excl. IAD &amp; FN SA and SAID</c:v>
                </c:pt>
              </c:strCache>
            </c:strRef>
          </c:cat>
          <c:val>
            <c:numRef>
              <c:f>SASK!$G$277:$G$279</c:f>
              <c:numCache>
                <c:formatCode>0.0%</c:formatCode>
                <c:ptCount val="3"/>
                <c:pt idx="0">
                  <c:v>0.12371465295629808</c:v>
                </c:pt>
                <c:pt idx="1">
                  <c:v>0.13750994390442897</c:v>
                </c:pt>
                <c:pt idx="2">
                  <c:v>0.14320471943389901</c:v>
                </c:pt>
              </c:numCache>
            </c:numRef>
          </c:val>
        </c:ser>
        <c:dLbls/>
        <c:gapWidth val="50"/>
        <c:axId val="94661632"/>
        <c:axId val="94671616"/>
      </c:barChart>
      <c:catAx>
        <c:axId val="94661632"/>
        <c:scaling>
          <c:orientation val="minMax"/>
        </c:scaling>
        <c:delete val="1"/>
        <c:axPos val="b"/>
        <c:majorTickMark val="none"/>
        <c:tickLblPos val="none"/>
        <c:crossAx val="94671616"/>
        <c:crosses val="autoZero"/>
        <c:auto val="1"/>
        <c:lblAlgn val="ctr"/>
        <c:lblOffset val="100"/>
      </c:catAx>
      <c:valAx>
        <c:axId val="94671616"/>
        <c:scaling>
          <c:orientation val="minMax"/>
        </c:scaling>
        <c:axPos val="l"/>
        <c:majorGridlines/>
        <c:numFmt formatCode="0%" sourceLinked="0"/>
        <c:majorTickMark val="none"/>
        <c:tickLblPos val="nextTo"/>
        <c:txPr>
          <a:bodyPr/>
          <a:lstStyle/>
          <a:p>
            <a:pPr>
              <a:defRPr lang="en-US"/>
            </a:pPr>
            <a:endParaRPr lang="en-US"/>
          </a:p>
        </c:txPr>
        <c:crossAx val="94661632"/>
        <c:crosses val="autoZero"/>
        <c:crossBetween val="between"/>
      </c:valAx>
    </c:plotArea>
    <c:legend>
      <c:legendPos val="b"/>
      <c:layout>
        <c:manualLayout>
          <c:xMode val="edge"/>
          <c:yMode val="edge"/>
          <c:x val="0.3336157924493679"/>
          <c:y val="0.9417074757137629"/>
          <c:w val="0.36935787627622724"/>
          <c:h val="4.6198211501913833E-2"/>
        </c:manualLayout>
      </c:layout>
      <c:txPr>
        <a:bodyPr/>
        <a:lstStyle/>
        <a:p>
          <a:pPr>
            <a:defRPr lang="en-US" sz="1400" b="1" i="0" baseline="0"/>
          </a:pPr>
          <a:endParaRPr lang="en-US"/>
        </a:p>
      </c:txPr>
    </c:legend>
    <c:plotVisOnly val="1"/>
    <c:dispBlanksAs val="gap"/>
  </c:chart>
  <c:userShapes r:id="rId1"/>
</c:chartSpace>
</file>

<file path=xl/charts/chart15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PERSONS WITH DISABILITIES:</a:t>
            </a:r>
            <a:endParaRPr lang="en-US"/>
          </a:p>
          <a:p>
            <a:pPr>
              <a:defRPr lang="en-US"/>
            </a:pPr>
            <a:r>
              <a:rPr lang="en-US" sz="1800" b="1" i="0" baseline="0"/>
              <a:t>PERCENTAGE CHANGE FROM 2005 TO 2013</a:t>
            </a:r>
            <a:endParaRPr lang="en-US"/>
          </a:p>
          <a:p>
            <a:pPr>
              <a:defRPr lang="en-US"/>
            </a:pPr>
            <a:r>
              <a:rPr lang="en-US" sz="1800" b="1" i="0" baseline="0"/>
              <a:t>SASKATCHEWAN</a:t>
            </a:r>
          </a:p>
        </c:rich>
      </c:tx>
    </c:title>
    <c:plotArea>
      <c:layout/>
      <c:barChart>
        <c:barDir val="col"/>
        <c:grouping val="clustered"/>
        <c:ser>
          <c:idx val="0"/>
          <c:order val="0"/>
          <c:spPr>
            <a:solidFill>
              <a:srgbClr val="F79646"/>
            </a:solidFill>
          </c:spPr>
          <c:dLbls>
            <c:txPr>
              <a:bodyPr/>
              <a:lstStyle/>
              <a:p>
                <a:pPr>
                  <a:defRPr sz="1400" b="1"/>
                </a:pPr>
                <a:endParaRPr lang="en-US"/>
              </a:p>
            </c:txPr>
            <c:showVal val="1"/>
          </c:dLbls>
          <c:cat>
            <c:strRef>
              <c:f>SASK!$A$277:$A$279</c:f>
              <c:strCache>
                <c:ptCount val="3"/>
                <c:pt idx="0">
                  <c:v>Income Assistance for the Disabled (IAD) &amp; FN SA and SAID</c:v>
                </c:pt>
                <c:pt idx="1">
                  <c:v>Total Income Support for the Disabled</c:v>
                </c:pt>
                <c:pt idx="2">
                  <c:v>Total Income Support for the Disabled excl. IAD &amp; FN SA and SAID</c:v>
                </c:pt>
              </c:strCache>
            </c:strRef>
          </c:cat>
          <c:val>
            <c:numRef>
              <c:f>SASK!$M$277:$M$279</c:f>
              <c:numCache>
                <c:formatCode>0.0%</c:formatCode>
                <c:ptCount val="3"/>
                <c:pt idx="0">
                  <c:v>0.83106391680299108</c:v>
                </c:pt>
                <c:pt idx="1">
                  <c:v>0.41463823819620133</c:v>
                </c:pt>
                <c:pt idx="2">
                  <c:v>0.24273532050570881</c:v>
                </c:pt>
              </c:numCache>
            </c:numRef>
          </c:val>
        </c:ser>
        <c:dLbls/>
        <c:gapWidth val="50"/>
        <c:axId val="94778496"/>
        <c:axId val="94780032"/>
      </c:barChart>
      <c:catAx>
        <c:axId val="94778496"/>
        <c:scaling>
          <c:orientation val="minMax"/>
        </c:scaling>
        <c:delete val="1"/>
        <c:axPos val="b"/>
        <c:majorTickMark val="none"/>
        <c:tickLblPos val="none"/>
        <c:crossAx val="94780032"/>
        <c:crosses val="autoZero"/>
        <c:auto val="1"/>
        <c:lblAlgn val="ctr"/>
        <c:lblOffset val="100"/>
      </c:catAx>
      <c:valAx>
        <c:axId val="94780032"/>
        <c:scaling>
          <c:orientation val="minMax"/>
          <c:min val="0"/>
        </c:scaling>
        <c:axPos val="l"/>
        <c:majorGridlines/>
        <c:numFmt formatCode="0%" sourceLinked="0"/>
        <c:majorTickMark val="none"/>
        <c:tickLblPos val="nextTo"/>
        <c:txPr>
          <a:bodyPr/>
          <a:lstStyle/>
          <a:p>
            <a:pPr>
              <a:defRPr lang="en-US"/>
            </a:pPr>
            <a:endParaRPr lang="en-US"/>
          </a:p>
        </c:txPr>
        <c:crossAx val="94778496"/>
        <c:crosses val="autoZero"/>
        <c:crossBetween val="between"/>
      </c:valAx>
    </c:plotArea>
    <c:plotVisOnly val="1"/>
    <c:dispBlanksAs val="gap"/>
  </c:chart>
  <c:userShapes r:id="rId1"/>
</c:chartSpace>
</file>

<file path=xl/charts/chart1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a:t>
            </a:r>
            <a:endParaRPr lang="en-CA" sz="1800" b="1" i="0" baseline="0"/>
          </a:p>
          <a:p>
            <a:pPr>
              <a:defRPr/>
            </a:pPr>
            <a:r>
              <a:rPr lang="en-US" sz="1800" b="1" i="0" baseline="0"/>
              <a:t>ESTIMATED EXPENDITURES BY PROGRAM FOR ONTARIO</a:t>
            </a:r>
            <a:endParaRPr lang="en-CA" sz="1800" b="1" i="0" baseline="0"/>
          </a:p>
          <a:p>
            <a:pPr>
              <a:defRPr/>
            </a:pPr>
            <a:r>
              <a:rPr lang="en-US" sz="1800" b="1" i="0" baseline="0"/>
              <a:t>2005 AND 2013 </a:t>
            </a:r>
            <a:endParaRPr lang="en-CA" sz="1800" b="1" i="0" baseline="0"/>
          </a:p>
          <a:p>
            <a:pPr>
              <a:defRPr/>
            </a:pPr>
            <a:r>
              <a:rPr lang="en-US" sz="1800" b="1" i="0" baseline="0"/>
              <a:t>($M)</a:t>
            </a:r>
            <a:endParaRPr lang="en-CA"/>
          </a:p>
          <a:p>
            <a:pPr>
              <a:defRPr/>
            </a:pPr>
            <a:endParaRPr lang="en-CA"/>
          </a:p>
        </c:rich>
      </c:tx>
    </c:title>
    <c:plotArea>
      <c:layout/>
      <c:barChart>
        <c:barDir val="col"/>
        <c:grouping val="clustered"/>
        <c:ser>
          <c:idx val="0"/>
          <c:order val="0"/>
          <c:tx>
            <c:strRef>
              <c:f>'CAN &amp; ON input to 2013-14'!$B$54</c:f>
              <c:strCache>
                <c:ptCount val="1"/>
                <c:pt idx="0">
                  <c:v>2005-06</c:v>
                </c:pt>
              </c:strCache>
            </c:strRef>
          </c:tx>
          <c:cat>
            <c:strRef>
              <c:f>('CAN &amp; ON input to 2013-14'!$A$55:$A$60,'CAN &amp; ON input to 2013-14'!$A$62:$A$63)</c:f>
              <c:strCache>
                <c:ptCount val="8"/>
                <c:pt idx="0">
                  <c:v>Disability Tax Measures</c:v>
                </c:pt>
                <c:pt idx="1">
                  <c:v>CPP Disability</c:v>
                </c:pt>
                <c:pt idx="2">
                  <c:v>EI Sickness</c:v>
                </c:pt>
                <c:pt idx="3">
                  <c:v>Veterans' Disability Pensions &amp; Awards</c:v>
                </c:pt>
                <c:pt idx="4">
                  <c:v>ODSP</c:v>
                </c:pt>
                <c:pt idx="5">
                  <c:v>First Nations SA for Disabled</c:v>
                </c:pt>
                <c:pt idx="6">
                  <c:v>Workers' Compensation </c:v>
                </c:pt>
                <c:pt idx="7">
                  <c:v>Private Disability Insurance</c:v>
                </c:pt>
              </c:strCache>
            </c:strRef>
          </c:cat>
          <c:val>
            <c:numRef>
              <c:f>('CAN &amp; ON input to 2013-14'!$B$55:$B$60,'CAN &amp; ON input to 2013-14'!$B$62:$B$63)</c:f>
              <c:numCache>
                <c:formatCode>#,##0.0</c:formatCode>
                <c:ptCount val="8"/>
                <c:pt idx="0">
                  <c:v>665.19</c:v>
                </c:pt>
                <c:pt idx="1">
                  <c:v>1524.6</c:v>
                </c:pt>
                <c:pt idx="2">
                  <c:v>259.3</c:v>
                </c:pt>
                <c:pt idx="3">
                  <c:v>564.69600000000003</c:v>
                </c:pt>
                <c:pt idx="4">
                  <c:v>2432.5</c:v>
                </c:pt>
                <c:pt idx="5">
                  <c:v>56.760000000000005</c:v>
                </c:pt>
                <c:pt idx="6">
                  <c:v>2028.5</c:v>
                </c:pt>
                <c:pt idx="7">
                  <c:v>1907</c:v>
                </c:pt>
              </c:numCache>
            </c:numRef>
          </c:val>
        </c:ser>
        <c:ser>
          <c:idx val="10"/>
          <c:order val="1"/>
          <c:tx>
            <c:strRef>
              <c:f>'CAN &amp; ON input to 2013-14'!$L$54</c:f>
              <c:strCache>
                <c:ptCount val="1"/>
                <c:pt idx="0">
                  <c:v>2013-14</c:v>
                </c:pt>
              </c:strCache>
            </c:strRef>
          </c:tx>
          <c:spPr>
            <a:solidFill>
              <a:srgbClr val="F79646"/>
            </a:solidFill>
          </c:spPr>
          <c:cat>
            <c:strRef>
              <c:f>('CAN &amp; ON input to 2013-14'!$A$55:$A$60,'CAN &amp; ON input to 2013-14'!$A$62:$A$63)</c:f>
              <c:strCache>
                <c:ptCount val="8"/>
                <c:pt idx="0">
                  <c:v>Disability Tax Measures</c:v>
                </c:pt>
                <c:pt idx="1">
                  <c:v>CPP Disability</c:v>
                </c:pt>
                <c:pt idx="2">
                  <c:v>EI Sickness</c:v>
                </c:pt>
                <c:pt idx="3">
                  <c:v>Veterans' Disability Pensions &amp; Awards</c:v>
                </c:pt>
                <c:pt idx="4">
                  <c:v>ODSP</c:v>
                </c:pt>
                <c:pt idx="5">
                  <c:v>First Nations SA for Disabled</c:v>
                </c:pt>
                <c:pt idx="6">
                  <c:v>Workers' Compensation </c:v>
                </c:pt>
                <c:pt idx="7">
                  <c:v>Private Disability Insurance</c:v>
                </c:pt>
              </c:strCache>
            </c:strRef>
          </c:cat>
          <c:val>
            <c:numRef>
              <c:f>('CAN &amp; ON input to 2013-14'!$L$55:$L$60,'CAN &amp; ON input to 2013-14'!$L$62:$L$63)</c:f>
              <c:numCache>
                <c:formatCode>#,##0.0</c:formatCode>
                <c:ptCount val="8"/>
                <c:pt idx="0">
                  <c:v>973.34725000000003</c:v>
                </c:pt>
                <c:pt idx="1">
                  <c:v>1979.9</c:v>
                </c:pt>
                <c:pt idx="2">
                  <c:v>368.9</c:v>
                </c:pt>
                <c:pt idx="3">
                  <c:v>679.9</c:v>
                </c:pt>
                <c:pt idx="4">
                  <c:v>4165.7</c:v>
                </c:pt>
                <c:pt idx="5">
                  <c:v>76.405000000000001</c:v>
                </c:pt>
                <c:pt idx="6">
                  <c:v>2014.5</c:v>
                </c:pt>
                <c:pt idx="7">
                  <c:v>2860</c:v>
                </c:pt>
              </c:numCache>
            </c:numRef>
          </c:val>
        </c:ser>
        <c:dLbls/>
        <c:axId val="49830528"/>
        <c:axId val="49865088"/>
      </c:barChart>
      <c:catAx>
        <c:axId val="49830528"/>
        <c:scaling>
          <c:orientation val="minMax"/>
        </c:scaling>
        <c:axPos val="b"/>
        <c:majorTickMark val="none"/>
        <c:tickLblPos val="nextTo"/>
        <c:txPr>
          <a:bodyPr/>
          <a:lstStyle/>
          <a:p>
            <a:pPr>
              <a:defRPr sz="1200" b="1"/>
            </a:pPr>
            <a:endParaRPr lang="en-US"/>
          </a:p>
        </c:txPr>
        <c:crossAx val="49865088"/>
        <c:crosses val="autoZero"/>
        <c:auto val="1"/>
        <c:lblAlgn val="ctr"/>
        <c:lblOffset val="100"/>
      </c:catAx>
      <c:valAx>
        <c:axId val="49865088"/>
        <c:scaling>
          <c:orientation val="minMax"/>
        </c:scaling>
        <c:axPos val="l"/>
        <c:majorGridlines/>
        <c:numFmt formatCode="&quot;$&quot;#,##0" sourceLinked="0"/>
        <c:majorTickMark val="none"/>
        <c:tickLblPos val="nextTo"/>
        <c:crossAx val="49830528"/>
        <c:crosses val="autoZero"/>
        <c:crossBetween val="between"/>
      </c:valAx>
    </c:plotArea>
    <c:legend>
      <c:legendPos val="b"/>
      <c:layout>
        <c:manualLayout>
          <c:xMode val="edge"/>
          <c:yMode val="edge"/>
          <c:x val="0.33594131313103365"/>
          <c:y val="0.94854199540032369"/>
          <c:w val="0.34422899845640997"/>
          <c:h val="4.1369601592283624E-2"/>
        </c:manualLayout>
      </c:layout>
      <c:txPr>
        <a:bodyPr/>
        <a:lstStyle/>
        <a:p>
          <a:pPr>
            <a:defRPr sz="1200" b="1"/>
          </a:pPr>
          <a:endParaRPr lang="en-US"/>
        </a:p>
      </c:txPr>
    </c:legend>
    <c:plotVisOnly val="1"/>
    <c:dispBlanksAs val="gap"/>
  </c:chart>
</c:chartSpace>
</file>

<file path=xl/charts/chart16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2009-10</a:t>
            </a:r>
          </a:p>
          <a:p>
            <a:pPr>
              <a:defRPr lang="en-US"/>
            </a:pPr>
            <a:r>
              <a:rPr lang="en-US" sz="1800" b="1" i="0" baseline="0"/>
              <a:t>SASKATCHEWAN</a:t>
            </a:r>
            <a:endParaRPr lang="en-US"/>
          </a:p>
        </c:rich>
      </c:tx>
    </c:title>
    <c:plotArea>
      <c:layout/>
      <c:barChart>
        <c:barDir val="col"/>
        <c:grouping val="clustered"/>
        <c:ser>
          <c:idx val="3"/>
          <c:order val="0"/>
          <c:spPr>
            <a:solidFill>
              <a:srgbClr val="4F81BD"/>
            </a:solidFill>
          </c:spPr>
          <c:dLbls>
            <c:dLbl>
              <c:idx val="0"/>
              <c:layout>
                <c:manualLayout>
                  <c:x val="0"/>
                  <c:y val="2.0157187973872492E-3"/>
                </c:manualLayout>
              </c:layout>
              <c:showVal val="1"/>
            </c:dLbl>
            <c:dLbl>
              <c:idx val="1"/>
              <c:layout>
                <c:manualLayout>
                  <c:x val="0"/>
                  <c:y val="8.0628751895490246E-3"/>
                </c:manualLayout>
              </c:layout>
              <c:showVal val="1"/>
            </c:dLbl>
            <c:dLbl>
              <c:idx val="2"/>
              <c:layout>
                <c:manualLayout>
                  <c:x val="0"/>
                  <c:y val="-2.0157187973872492E-3"/>
                </c:manualLayout>
              </c:layout>
              <c:showVal val="1"/>
            </c:dLbl>
            <c:txPr>
              <a:bodyPr/>
              <a:lstStyle/>
              <a:p>
                <a:pPr>
                  <a:defRPr lang="en-US" sz="1400" b="1" i="0" baseline="0"/>
                </a:pPr>
                <a:endParaRPr lang="en-US"/>
              </a:p>
            </c:txPr>
            <c:showVal val="1"/>
          </c:dLbls>
          <c:cat>
            <c:strRef>
              <c:f>SASK!$A$277:$A$279</c:f>
              <c:strCache>
                <c:ptCount val="3"/>
                <c:pt idx="0">
                  <c:v>Income Assistance for the Disabled (IAD) &amp; FN SA and SAID</c:v>
                </c:pt>
                <c:pt idx="1">
                  <c:v>Total Income Support for the Disabled</c:v>
                </c:pt>
                <c:pt idx="2">
                  <c:v>Total Income Support for the Disabled excl. IAD &amp; FN SA and SAID</c:v>
                </c:pt>
              </c:strCache>
            </c:strRef>
          </c:cat>
          <c:val>
            <c:numRef>
              <c:f>SASK!$E$277:$E$279</c:f>
              <c:numCache>
                <c:formatCode>0.0%</c:formatCode>
                <c:ptCount val="3"/>
                <c:pt idx="0">
                  <c:v>0.18444730077120816</c:v>
                </c:pt>
                <c:pt idx="1">
                  <c:v>0.15188874435373984</c:v>
                </c:pt>
                <c:pt idx="2">
                  <c:v>0.13844838480944238</c:v>
                </c:pt>
              </c:numCache>
            </c:numRef>
          </c:val>
        </c:ser>
        <c:dLbls/>
        <c:gapWidth val="50"/>
        <c:axId val="94820992"/>
        <c:axId val="94822784"/>
      </c:barChart>
      <c:catAx>
        <c:axId val="94820992"/>
        <c:scaling>
          <c:orientation val="minMax"/>
        </c:scaling>
        <c:delete val="1"/>
        <c:axPos val="b"/>
        <c:majorTickMark val="none"/>
        <c:tickLblPos val="none"/>
        <c:crossAx val="94822784"/>
        <c:crosses val="autoZero"/>
        <c:auto val="1"/>
        <c:lblAlgn val="ctr"/>
        <c:lblOffset val="100"/>
      </c:catAx>
      <c:valAx>
        <c:axId val="94822784"/>
        <c:scaling>
          <c:orientation val="minMax"/>
        </c:scaling>
        <c:axPos val="l"/>
        <c:majorGridlines/>
        <c:numFmt formatCode="0%" sourceLinked="0"/>
        <c:majorTickMark val="none"/>
        <c:tickLblPos val="nextTo"/>
        <c:txPr>
          <a:bodyPr/>
          <a:lstStyle/>
          <a:p>
            <a:pPr>
              <a:defRPr lang="en-US"/>
            </a:pPr>
            <a:endParaRPr lang="en-US"/>
          </a:p>
        </c:txPr>
        <c:crossAx val="94820992"/>
        <c:crosses val="autoZero"/>
        <c:crossBetween val="between"/>
      </c:valAx>
    </c:plotArea>
    <c:plotVisOnly val="1"/>
    <c:dispBlanksAs val="gap"/>
  </c:chart>
  <c:userShapes r:id="rId1"/>
</c:chartSpace>
</file>

<file path=xl/charts/chart16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INCREASE IN SOCIAL ASSISTANCE SPENDING ON </a:t>
            </a:r>
          </a:p>
          <a:p>
            <a:pPr>
              <a:defRPr/>
            </a:pPr>
            <a:r>
              <a:rPr lang="en-US" sz="1800" b="1" i="0" baseline="0"/>
              <a:t>PERSONS WITH DISABILITIES BY PROVINCE</a:t>
            </a:r>
          </a:p>
          <a:p>
            <a:pPr>
              <a:defRPr/>
            </a:pPr>
            <a:r>
              <a:rPr lang="en-US" sz="1800" b="1" i="0" baseline="0"/>
              <a:t>2005 TO 2013</a:t>
            </a:r>
            <a:endParaRPr lang="en-CA"/>
          </a:p>
        </c:rich>
      </c:tx>
    </c:title>
    <c:plotArea>
      <c:layout/>
      <c:barChart>
        <c:barDir val="col"/>
        <c:grouping val="clustered"/>
        <c:ser>
          <c:idx val="3"/>
          <c:order val="0"/>
          <c:spPr>
            <a:solidFill>
              <a:srgbClr val="F79646">
                <a:lumMod val="75000"/>
              </a:srgbClr>
            </a:solidFill>
          </c:spPr>
          <c:dLbls>
            <c:dLbl>
              <c:idx val="4"/>
              <c:layout>
                <c:manualLayout>
                  <c:x val="0"/>
                  <c:y val="6.0530418044355931E-3"/>
                </c:manualLayout>
              </c:layout>
              <c:showVal val="1"/>
            </c:dLbl>
            <c:dLbl>
              <c:idx val="6"/>
              <c:layout>
                <c:manualLayout>
                  <c:x val="0"/>
                  <c:y val="8.0707224059141189E-3"/>
                </c:manualLayout>
              </c:layout>
              <c:showVal val="1"/>
            </c:dLbl>
            <c:dLbl>
              <c:idx val="9"/>
              <c:layout>
                <c:manualLayout>
                  <c:x val="1.0741035951617742E-16"/>
                  <c:y val="6.0530418044355931E-3"/>
                </c:manualLayout>
              </c:layout>
              <c:showVal val="1"/>
            </c:dLbl>
            <c:txPr>
              <a:bodyPr/>
              <a:lstStyle/>
              <a:p>
                <a:pPr>
                  <a:defRPr sz="1200" b="1"/>
                </a:pPr>
                <a:endParaRPr lang="en-US"/>
              </a:p>
            </c:txPr>
            <c:showVal val="1"/>
          </c:dLbls>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province'!$E$4:$E$13</c:f>
              <c:numCache>
                <c:formatCode>0.0%</c:formatCode>
                <c:ptCount val="10"/>
                <c:pt idx="0">
                  <c:v>7.8628731307797864E-2</c:v>
                </c:pt>
                <c:pt idx="1">
                  <c:v>0.30284612109729175</c:v>
                </c:pt>
                <c:pt idx="2">
                  <c:v>0.22517104457175774</c:v>
                </c:pt>
                <c:pt idx="3">
                  <c:v>0.22167683533991134</c:v>
                </c:pt>
                <c:pt idx="4">
                  <c:v>0.14726472113386821</c:v>
                </c:pt>
                <c:pt idx="5">
                  <c:v>0.70416308461149069</c:v>
                </c:pt>
                <c:pt idx="6">
                  <c:v>0.34300515897856543</c:v>
                </c:pt>
                <c:pt idx="7">
                  <c:v>0.83106391680299108</c:v>
                </c:pt>
                <c:pt idx="8">
                  <c:v>1.2569629166014709</c:v>
                </c:pt>
                <c:pt idx="9">
                  <c:v>0.54149798538007021</c:v>
                </c:pt>
              </c:numCache>
            </c:numRef>
          </c:val>
        </c:ser>
        <c:dLbls/>
        <c:gapWidth val="50"/>
        <c:axId val="95720192"/>
        <c:axId val="95721728"/>
      </c:barChart>
      <c:catAx>
        <c:axId val="95720192"/>
        <c:scaling>
          <c:orientation val="minMax"/>
        </c:scaling>
        <c:axPos val="b"/>
        <c:majorTickMark val="none"/>
        <c:tickLblPos val="nextTo"/>
        <c:txPr>
          <a:bodyPr/>
          <a:lstStyle/>
          <a:p>
            <a:pPr>
              <a:defRPr sz="1200" b="1"/>
            </a:pPr>
            <a:endParaRPr lang="en-US"/>
          </a:p>
        </c:txPr>
        <c:crossAx val="95721728"/>
        <c:crosses val="autoZero"/>
        <c:auto val="1"/>
        <c:lblAlgn val="ctr"/>
        <c:lblOffset val="100"/>
      </c:catAx>
      <c:valAx>
        <c:axId val="95721728"/>
        <c:scaling>
          <c:orientation val="minMax"/>
        </c:scaling>
        <c:axPos val="l"/>
        <c:majorGridlines/>
        <c:numFmt formatCode="0%" sourceLinked="0"/>
        <c:majorTickMark val="none"/>
        <c:tickLblPos val="nextTo"/>
        <c:crossAx val="95720192"/>
        <c:crosses val="autoZero"/>
        <c:crossBetween val="between"/>
      </c:valAx>
    </c:plotArea>
    <c:plotVisOnly val="1"/>
    <c:dispBlanksAs val="gap"/>
  </c:chart>
</c:chartSpace>
</file>

<file path=xl/charts/chart16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INCREASE IN SOCIAL ASSISTANCE SPENDING ON </a:t>
            </a:r>
            <a:endParaRPr lang="en-CA"/>
          </a:p>
          <a:p>
            <a:pPr>
              <a:defRPr/>
            </a:pPr>
            <a:r>
              <a:rPr lang="en-US" sz="1800" b="1" i="0" baseline="0"/>
              <a:t>PERSONS WITH DISABILITIES BY PROVINCE</a:t>
            </a:r>
            <a:endParaRPr lang="en-CA"/>
          </a:p>
          <a:p>
            <a:pPr>
              <a:defRPr/>
            </a:pPr>
            <a:r>
              <a:rPr lang="en-US" sz="1800" b="1" i="0" baseline="0"/>
              <a:t>2005 TO 2009 AND 2005 TO 2013</a:t>
            </a:r>
            <a:endParaRPr lang="en-CA" sz="1800" b="0" i="0" baseline="0"/>
          </a:p>
        </c:rich>
      </c:tx>
    </c:title>
    <c:plotArea>
      <c:layout/>
      <c:barChart>
        <c:barDir val="col"/>
        <c:grouping val="clustered"/>
        <c:ser>
          <c:idx val="0"/>
          <c:order val="0"/>
          <c:tx>
            <c:strRef>
              <c:f>'Input to bar by province'!$B$3</c:f>
              <c:strCache>
                <c:ptCount val="1"/>
                <c:pt idx="0">
                  <c:v>2009-10</c:v>
                </c:pt>
              </c:strCache>
            </c:strRef>
          </c:tx>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province'!$B$4:$B$13</c:f>
              <c:numCache>
                <c:formatCode>0.0%</c:formatCode>
                <c:ptCount val="10"/>
                <c:pt idx="0">
                  <c:v>4.0091944141176276E-2</c:v>
                </c:pt>
                <c:pt idx="1">
                  <c:v>7.8111035641511603E-2</c:v>
                </c:pt>
                <c:pt idx="2">
                  <c:v>1.545778834720578E-2</c:v>
                </c:pt>
                <c:pt idx="3">
                  <c:v>0.13342989046800044</c:v>
                </c:pt>
                <c:pt idx="4">
                  <c:v>8.1098010347137733E-2</c:v>
                </c:pt>
                <c:pt idx="5">
                  <c:v>0.34964607955778004</c:v>
                </c:pt>
                <c:pt idx="6">
                  <c:v>0.17281498909922952</c:v>
                </c:pt>
                <c:pt idx="7">
                  <c:v>0.18444730077120816</c:v>
                </c:pt>
                <c:pt idx="8">
                  <c:v>0.46023705210452198</c:v>
                </c:pt>
                <c:pt idx="9">
                  <c:v>0.25279100508034574</c:v>
                </c:pt>
              </c:numCache>
            </c:numRef>
          </c:val>
        </c:ser>
        <c:ser>
          <c:idx val="3"/>
          <c:order val="1"/>
          <c:tx>
            <c:strRef>
              <c:f>'Input to bar by province'!$E$3</c:f>
              <c:strCache>
                <c:ptCount val="1"/>
                <c:pt idx="0">
                  <c:v>2013-14</c:v>
                </c:pt>
              </c:strCache>
            </c:strRef>
          </c:tx>
          <c:spPr>
            <a:solidFill>
              <a:srgbClr val="F79646">
                <a:lumMod val="75000"/>
              </a:srgbClr>
            </a:solidFill>
          </c:spPr>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province'!$E$4:$E$13</c:f>
              <c:numCache>
                <c:formatCode>0.0%</c:formatCode>
                <c:ptCount val="10"/>
                <c:pt idx="0">
                  <c:v>7.8628731307797864E-2</c:v>
                </c:pt>
                <c:pt idx="1">
                  <c:v>0.30284612109729175</c:v>
                </c:pt>
                <c:pt idx="2">
                  <c:v>0.22517104457175774</c:v>
                </c:pt>
                <c:pt idx="3">
                  <c:v>0.22167683533991134</c:v>
                </c:pt>
                <c:pt idx="4">
                  <c:v>0.14726472113386821</c:v>
                </c:pt>
                <c:pt idx="5">
                  <c:v>0.70416308461149069</c:v>
                </c:pt>
                <c:pt idx="6">
                  <c:v>0.34300515897856543</c:v>
                </c:pt>
                <c:pt idx="7">
                  <c:v>0.83106391680299108</c:v>
                </c:pt>
                <c:pt idx="8">
                  <c:v>1.2569629166014709</c:v>
                </c:pt>
                <c:pt idx="9">
                  <c:v>0.54149798538007021</c:v>
                </c:pt>
              </c:numCache>
            </c:numRef>
          </c:val>
        </c:ser>
        <c:dLbls/>
        <c:axId val="95829376"/>
        <c:axId val="95835264"/>
      </c:barChart>
      <c:catAx>
        <c:axId val="95829376"/>
        <c:scaling>
          <c:orientation val="minMax"/>
        </c:scaling>
        <c:axPos val="b"/>
        <c:tickLblPos val="nextTo"/>
        <c:txPr>
          <a:bodyPr/>
          <a:lstStyle/>
          <a:p>
            <a:pPr>
              <a:defRPr sz="1200" b="1"/>
            </a:pPr>
            <a:endParaRPr lang="en-US"/>
          </a:p>
        </c:txPr>
        <c:crossAx val="95835264"/>
        <c:crosses val="autoZero"/>
        <c:auto val="1"/>
        <c:lblAlgn val="ctr"/>
        <c:lblOffset val="100"/>
      </c:catAx>
      <c:valAx>
        <c:axId val="95835264"/>
        <c:scaling>
          <c:orientation val="minMax"/>
        </c:scaling>
        <c:axPos val="l"/>
        <c:majorGridlines/>
        <c:numFmt formatCode="0%" sourceLinked="0"/>
        <c:tickLblPos val="nextTo"/>
        <c:crossAx val="95829376"/>
        <c:crosses val="autoZero"/>
        <c:crossBetween val="between"/>
      </c:valAx>
    </c:plotArea>
    <c:legend>
      <c:legendPos val="b"/>
      <c:layout>
        <c:manualLayout>
          <c:xMode val="edge"/>
          <c:yMode val="edge"/>
          <c:x val="0.33835911211741282"/>
          <c:y val="0.95140837283432966"/>
          <c:w val="0.36575806601915251"/>
          <c:h val="3.6485543556799171E-2"/>
        </c:manualLayout>
      </c:layout>
      <c:txPr>
        <a:bodyPr/>
        <a:lstStyle/>
        <a:p>
          <a:pPr>
            <a:defRPr sz="1200" b="1"/>
          </a:pPr>
          <a:endParaRPr lang="en-US"/>
        </a:p>
      </c:txPr>
    </c:legend>
    <c:plotVisOnly val="1"/>
    <c:dispBlanksAs val="gap"/>
  </c:chart>
</c:chartSpace>
</file>

<file path=xl/charts/chart16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Increase in Social Assistance Spending on the Disabled by Province</a:t>
            </a:r>
          </a:p>
          <a:p>
            <a:pPr>
              <a:defRPr/>
            </a:pPr>
            <a:r>
              <a:rPr lang="en-US" sz="1800" b="1" i="0" baseline="0"/>
              <a:t>2005-06 to 2011-12</a:t>
            </a:r>
          </a:p>
          <a:p>
            <a:pPr>
              <a:defRPr/>
            </a:pPr>
            <a:endParaRPr lang="en-CA"/>
          </a:p>
        </c:rich>
      </c:tx>
    </c:title>
    <c:plotArea>
      <c:layout/>
      <c:barChart>
        <c:barDir val="col"/>
        <c:grouping val="clustered"/>
        <c:ser>
          <c:idx val="0"/>
          <c:order val="0"/>
          <c:spPr>
            <a:solidFill>
              <a:schemeClr val="accent6">
                <a:lumMod val="75000"/>
              </a:schemeClr>
            </a:solidFill>
          </c:spPr>
          <c:dLbls>
            <c:dLbl>
              <c:idx val="0"/>
              <c:layout>
                <c:manualLayout>
                  <c:x val="0"/>
                  <c:y val="-1.0088403007392655E-2"/>
                </c:manualLayout>
              </c:layout>
              <c:showVal val="1"/>
            </c:dLbl>
            <c:dLbl>
              <c:idx val="6"/>
              <c:layout>
                <c:manualLayout>
                  <c:x val="0"/>
                  <c:y val="-6.0530418044355931E-3"/>
                </c:manualLayout>
              </c:layout>
              <c:showVal val="1"/>
            </c:dLbl>
            <c:txPr>
              <a:bodyPr/>
              <a:lstStyle/>
              <a:p>
                <a:pPr>
                  <a:defRPr sz="1200" b="1"/>
                </a:pPr>
                <a:endParaRPr lang="en-US"/>
              </a:p>
            </c:txPr>
            <c:showVal val="1"/>
          </c:dLbls>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province'!$D$4:$D$13</c:f>
              <c:numCache>
                <c:formatCode>0.0%</c:formatCode>
                <c:ptCount val="10"/>
                <c:pt idx="0">
                  <c:v>8.0870521194322739E-2</c:v>
                </c:pt>
                <c:pt idx="1">
                  <c:v>0.25606835162478114</c:v>
                </c:pt>
                <c:pt idx="2">
                  <c:v>0.10352754657154191</c:v>
                </c:pt>
                <c:pt idx="3">
                  <c:v>0.14948854892731053</c:v>
                </c:pt>
                <c:pt idx="4">
                  <c:v>0.11605136361561207</c:v>
                </c:pt>
                <c:pt idx="5">
                  <c:v>0.55228662333384204</c:v>
                </c:pt>
                <c:pt idx="6">
                  <c:v>0.28490944805405061</c:v>
                </c:pt>
                <c:pt idx="7">
                  <c:v>0.12885604113110541</c:v>
                </c:pt>
                <c:pt idx="8">
                  <c:v>0.64020693162259423</c:v>
                </c:pt>
                <c:pt idx="9">
                  <c:v>0.39942029908744869</c:v>
                </c:pt>
              </c:numCache>
            </c:numRef>
          </c:val>
        </c:ser>
        <c:dLbls/>
        <c:gapWidth val="50"/>
        <c:axId val="95917568"/>
        <c:axId val="95919104"/>
      </c:barChart>
      <c:catAx>
        <c:axId val="95917568"/>
        <c:scaling>
          <c:orientation val="minMax"/>
        </c:scaling>
        <c:axPos val="b"/>
        <c:majorTickMark val="none"/>
        <c:tickLblPos val="nextTo"/>
        <c:txPr>
          <a:bodyPr/>
          <a:lstStyle/>
          <a:p>
            <a:pPr>
              <a:defRPr sz="1200" b="1"/>
            </a:pPr>
            <a:endParaRPr lang="en-US"/>
          </a:p>
        </c:txPr>
        <c:crossAx val="95919104"/>
        <c:crosses val="autoZero"/>
        <c:auto val="1"/>
        <c:lblAlgn val="ctr"/>
        <c:lblOffset val="100"/>
      </c:catAx>
      <c:valAx>
        <c:axId val="95919104"/>
        <c:scaling>
          <c:orientation val="minMax"/>
        </c:scaling>
        <c:axPos val="l"/>
        <c:majorGridlines/>
        <c:numFmt formatCode="0%" sourceLinked="0"/>
        <c:majorTickMark val="none"/>
        <c:tickLblPos val="nextTo"/>
        <c:crossAx val="95917568"/>
        <c:crosses val="autoZero"/>
        <c:crossBetween val="between"/>
      </c:valAx>
    </c:plotArea>
    <c:plotVisOnly val="1"/>
    <c:dispBlanksAs val="gap"/>
  </c:chart>
</c:chartSpace>
</file>

<file path=xl/charts/chart16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Increase in Social Assistance Spending on the Disabled by Province</a:t>
            </a:r>
          </a:p>
          <a:p>
            <a:pPr>
              <a:defRPr/>
            </a:pPr>
            <a:r>
              <a:rPr lang="en-US" sz="1800" b="1" i="0" baseline="0"/>
              <a:t>2005-06 to 2009-10, 2010-11 and 2011-12</a:t>
            </a:r>
            <a:endParaRPr lang="en-CA"/>
          </a:p>
        </c:rich>
      </c:tx>
    </c:title>
    <c:plotArea>
      <c:layout/>
      <c:barChart>
        <c:barDir val="col"/>
        <c:grouping val="clustered"/>
        <c:ser>
          <c:idx val="0"/>
          <c:order val="0"/>
          <c:tx>
            <c:strRef>
              <c:f>'Input to bar by province'!$B$3</c:f>
              <c:strCache>
                <c:ptCount val="1"/>
                <c:pt idx="0">
                  <c:v>2009-10</c:v>
                </c:pt>
              </c:strCache>
            </c:strRef>
          </c:tx>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province'!$B$4:$B$13</c:f>
              <c:numCache>
                <c:formatCode>0.0%</c:formatCode>
                <c:ptCount val="10"/>
                <c:pt idx="0">
                  <c:v>4.0091944141176276E-2</c:v>
                </c:pt>
                <c:pt idx="1">
                  <c:v>7.8111035641511603E-2</c:v>
                </c:pt>
                <c:pt idx="2">
                  <c:v>1.545778834720578E-2</c:v>
                </c:pt>
                <c:pt idx="3">
                  <c:v>0.13342989046800044</c:v>
                </c:pt>
                <c:pt idx="4">
                  <c:v>8.1098010347137733E-2</c:v>
                </c:pt>
                <c:pt idx="5">
                  <c:v>0.34964607955778004</c:v>
                </c:pt>
                <c:pt idx="6">
                  <c:v>0.17281498909922952</c:v>
                </c:pt>
                <c:pt idx="7">
                  <c:v>0.18444730077120816</c:v>
                </c:pt>
                <c:pt idx="8">
                  <c:v>0.46023705210452198</c:v>
                </c:pt>
                <c:pt idx="9">
                  <c:v>0.25279100508034574</c:v>
                </c:pt>
              </c:numCache>
            </c:numRef>
          </c:val>
        </c:ser>
        <c:ser>
          <c:idx val="1"/>
          <c:order val="1"/>
          <c:tx>
            <c:strRef>
              <c:f>'Input to bar by province'!$C$3</c:f>
              <c:strCache>
                <c:ptCount val="1"/>
                <c:pt idx="0">
                  <c:v>2010-11</c:v>
                </c:pt>
              </c:strCache>
            </c:strRef>
          </c:tx>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province'!$C$4:$C$13</c:f>
              <c:numCache>
                <c:formatCode>0.0%</c:formatCode>
                <c:ptCount val="10"/>
                <c:pt idx="0">
                  <c:v>6.7124738946351389E-2</c:v>
                </c:pt>
                <c:pt idx="1">
                  <c:v>0.13480141565080603</c:v>
                </c:pt>
                <c:pt idx="2">
                  <c:v>5.0717399920729114E-2</c:v>
                </c:pt>
                <c:pt idx="3">
                  <c:v>0.14173259708518141</c:v>
                </c:pt>
                <c:pt idx="4">
                  <c:v>0.10566886937600195</c:v>
                </c:pt>
                <c:pt idx="5">
                  <c:v>0.44680346769722729</c:v>
                </c:pt>
                <c:pt idx="6">
                  <c:v>0.23815485569970005</c:v>
                </c:pt>
                <c:pt idx="7">
                  <c:v>0.12371465295629808</c:v>
                </c:pt>
                <c:pt idx="8">
                  <c:v>0.54074088562040357</c:v>
                </c:pt>
                <c:pt idx="9">
                  <c:v>0.32571546877737251</c:v>
                </c:pt>
              </c:numCache>
            </c:numRef>
          </c:val>
        </c:ser>
        <c:ser>
          <c:idx val="2"/>
          <c:order val="2"/>
          <c:tx>
            <c:strRef>
              <c:f>'Input to bar by province'!$D$3</c:f>
              <c:strCache>
                <c:ptCount val="1"/>
                <c:pt idx="0">
                  <c:v>2011-12</c:v>
                </c:pt>
              </c:strCache>
            </c:strRef>
          </c:tx>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province'!$D$4:$D$13</c:f>
              <c:numCache>
                <c:formatCode>0.0%</c:formatCode>
                <c:ptCount val="10"/>
                <c:pt idx="0">
                  <c:v>8.0870521194322739E-2</c:v>
                </c:pt>
                <c:pt idx="1">
                  <c:v>0.25606835162478114</c:v>
                </c:pt>
                <c:pt idx="2">
                  <c:v>0.10352754657154191</c:v>
                </c:pt>
                <c:pt idx="3">
                  <c:v>0.14948854892731053</c:v>
                </c:pt>
                <c:pt idx="4">
                  <c:v>0.11605136361561207</c:v>
                </c:pt>
                <c:pt idx="5">
                  <c:v>0.55228662333384204</c:v>
                </c:pt>
                <c:pt idx="6">
                  <c:v>0.28490944805405061</c:v>
                </c:pt>
                <c:pt idx="7">
                  <c:v>0.12885604113110541</c:v>
                </c:pt>
                <c:pt idx="8">
                  <c:v>0.64020693162259423</c:v>
                </c:pt>
                <c:pt idx="9">
                  <c:v>0.39942029908744869</c:v>
                </c:pt>
              </c:numCache>
            </c:numRef>
          </c:val>
        </c:ser>
        <c:dLbls/>
        <c:gapWidth val="50"/>
        <c:axId val="95319552"/>
        <c:axId val="95321088"/>
      </c:barChart>
      <c:catAx>
        <c:axId val="95319552"/>
        <c:scaling>
          <c:orientation val="minMax"/>
        </c:scaling>
        <c:axPos val="b"/>
        <c:majorTickMark val="none"/>
        <c:tickLblPos val="nextTo"/>
        <c:txPr>
          <a:bodyPr/>
          <a:lstStyle/>
          <a:p>
            <a:pPr>
              <a:defRPr sz="1200" b="1"/>
            </a:pPr>
            <a:endParaRPr lang="en-US"/>
          </a:p>
        </c:txPr>
        <c:crossAx val="95321088"/>
        <c:crosses val="autoZero"/>
        <c:auto val="1"/>
        <c:lblAlgn val="ctr"/>
        <c:lblOffset val="100"/>
      </c:catAx>
      <c:valAx>
        <c:axId val="95321088"/>
        <c:scaling>
          <c:orientation val="minMax"/>
        </c:scaling>
        <c:axPos val="l"/>
        <c:majorGridlines/>
        <c:numFmt formatCode="0%" sourceLinked="0"/>
        <c:majorTickMark val="none"/>
        <c:tickLblPos val="nextTo"/>
        <c:crossAx val="95319552"/>
        <c:crosses val="autoZero"/>
        <c:crossBetween val="between"/>
      </c:valAx>
    </c:plotArea>
    <c:legend>
      <c:legendPos val="b"/>
      <c:layout>
        <c:manualLayout>
          <c:xMode val="edge"/>
          <c:yMode val="edge"/>
          <c:x val="0.24365910187602108"/>
          <c:y val="0.94652431479884513"/>
          <c:w val="0.52732883265657582"/>
          <c:h val="4.1369601592283624E-2"/>
        </c:manualLayout>
      </c:layout>
      <c:txPr>
        <a:bodyPr/>
        <a:lstStyle/>
        <a:p>
          <a:pPr>
            <a:defRPr sz="1400" b="1"/>
          </a:pPr>
          <a:endParaRPr lang="en-US"/>
        </a:p>
      </c:txPr>
    </c:legend>
    <c:plotVisOnly val="1"/>
    <c:dispBlanksAs val="gap"/>
  </c:chart>
</c:chartSpace>
</file>

<file path=xl/charts/chart16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Increase in Social Assistance Spending on the Disabled by Province</a:t>
            </a:r>
            <a:endParaRPr lang="en-US"/>
          </a:p>
          <a:p>
            <a:pPr>
              <a:defRPr lang="en-US"/>
            </a:pPr>
            <a:r>
              <a:rPr lang="en-US" sz="1800" b="1" i="0" baseline="0"/>
              <a:t>2005-06 to 2009-10 and 2010-11</a:t>
            </a:r>
            <a:endParaRPr lang="en-US"/>
          </a:p>
        </c:rich>
      </c:tx>
    </c:title>
    <c:plotArea>
      <c:layout>
        <c:manualLayout>
          <c:layoutTarget val="inner"/>
          <c:xMode val="edge"/>
          <c:yMode val="edge"/>
          <c:x val="5.1321588289159656E-2"/>
          <c:y val="0.12306471155699068"/>
          <c:w val="0.93550620568785758"/>
          <c:h val="0.76209851881173563"/>
        </c:manualLayout>
      </c:layout>
      <c:barChart>
        <c:barDir val="col"/>
        <c:grouping val="clustered"/>
        <c:ser>
          <c:idx val="0"/>
          <c:order val="0"/>
          <c:tx>
            <c:strRef>
              <c:f>'Input to bar by province'!$B$3</c:f>
              <c:strCache>
                <c:ptCount val="1"/>
                <c:pt idx="0">
                  <c:v>2009-10</c:v>
                </c:pt>
              </c:strCache>
            </c:strRef>
          </c:tx>
          <c:spPr>
            <a:solidFill>
              <a:schemeClr val="accent1"/>
            </a:solidFill>
          </c:spPr>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province'!$B$4:$B$13</c:f>
              <c:numCache>
                <c:formatCode>0.0%</c:formatCode>
                <c:ptCount val="10"/>
                <c:pt idx="0">
                  <c:v>4.0091944141176276E-2</c:v>
                </c:pt>
                <c:pt idx="1">
                  <c:v>7.8111035641511603E-2</c:v>
                </c:pt>
                <c:pt idx="2">
                  <c:v>1.545778834720578E-2</c:v>
                </c:pt>
                <c:pt idx="3">
                  <c:v>0.13342989046800044</c:v>
                </c:pt>
                <c:pt idx="4">
                  <c:v>8.1098010347137733E-2</c:v>
                </c:pt>
                <c:pt idx="5">
                  <c:v>0.34964607955778004</c:v>
                </c:pt>
                <c:pt idx="6">
                  <c:v>0.17281498909922952</c:v>
                </c:pt>
                <c:pt idx="7">
                  <c:v>0.18444730077120816</c:v>
                </c:pt>
                <c:pt idx="8">
                  <c:v>0.46023705210452198</c:v>
                </c:pt>
                <c:pt idx="9">
                  <c:v>0.25279100508034574</c:v>
                </c:pt>
              </c:numCache>
            </c:numRef>
          </c:val>
        </c:ser>
        <c:ser>
          <c:idx val="1"/>
          <c:order val="1"/>
          <c:tx>
            <c:strRef>
              <c:f>'Input to bar by province'!$C$3</c:f>
              <c:strCache>
                <c:ptCount val="1"/>
                <c:pt idx="0">
                  <c:v>2010-11</c:v>
                </c:pt>
              </c:strCache>
            </c:strRef>
          </c:tx>
          <c:spPr>
            <a:solidFill>
              <a:schemeClr val="accent3"/>
            </a:solidFill>
          </c:spPr>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province'!$C$4:$C$13</c:f>
              <c:numCache>
                <c:formatCode>0.0%</c:formatCode>
                <c:ptCount val="10"/>
                <c:pt idx="0">
                  <c:v>6.7124738946351389E-2</c:v>
                </c:pt>
                <c:pt idx="1">
                  <c:v>0.13480141565080603</c:v>
                </c:pt>
                <c:pt idx="2">
                  <c:v>5.0717399920729114E-2</c:v>
                </c:pt>
                <c:pt idx="3">
                  <c:v>0.14173259708518141</c:v>
                </c:pt>
                <c:pt idx="4">
                  <c:v>0.10566886937600195</c:v>
                </c:pt>
                <c:pt idx="5">
                  <c:v>0.44680346769722729</c:v>
                </c:pt>
                <c:pt idx="6">
                  <c:v>0.23815485569970005</c:v>
                </c:pt>
                <c:pt idx="7">
                  <c:v>0.12371465295629808</c:v>
                </c:pt>
                <c:pt idx="8">
                  <c:v>0.54074088562040357</c:v>
                </c:pt>
                <c:pt idx="9">
                  <c:v>0.32571546877737251</c:v>
                </c:pt>
              </c:numCache>
            </c:numRef>
          </c:val>
        </c:ser>
        <c:dLbls/>
        <c:axId val="95396608"/>
        <c:axId val="95398144"/>
      </c:barChart>
      <c:catAx>
        <c:axId val="95396608"/>
        <c:scaling>
          <c:orientation val="minMax"/>
        </c:scaling>
        <c:axPos val="b"/>
        <c:majorTickMark val="none"/>
        <c:tickLblPos val="nextTo"/>
        <c:txPr>
          <a:bodyPr/>
          <a:lstStyle/>
          <a:p>
            <a:pPr>
              <a:defRPr lang="en-US" b="1"/>
            </a:pPr>
            <a:endParaRPr lang="en-US"/>
          </a:p>
        </c:txPr>
        <c:crossAx val="95398144"/>
        <c:crosses val="autoZero"/>
        <c:auto val="1"/>
        <c:lblAlgn val="ctr"/>
        <c:lblOffset val="100"/>
      </c:catAx>
      <c:valAx>
        <c:axId val="95398144"/>
        <c:scaling>
          <c:orientation val="minMax"/>
        </c:scaling>
        <c:axPos val="l"/>
        <c:majorGridlines/>
        <c:numFmt formatCode="0%" sourceLinked="0"/>
        <c:majorTickMark val="none"/>
        <c:tickLblPos val="nextTo"/>
        <c:txPr>
          <a:bodyPr/>
          <a:lstStyle/>
          <a:p>
            <a:pPr>
              <a:defRPr lang="en-US"/>
            </a:pPr>
            <a:endParaRPr lang="en-US"/>
          </a:p>
        </c:txPr>
        <c:crossAx val="95396608"/>
        <c:crosses val="autoZero"/>
        <c:crossBetween val="between"/>
      </c:valAx>
      <c:spPr>
        <a:noFill/>
      </c:spPr>
    </c:plotArea>
    <c:legend>
      <c:legendPos val="b"/>
      <c:layout>
        <c:manualLayout>
          <c:xMode val="edge"/>
          <c:yMode val="edge"/>
          <c:x val="0.31898000797939086"/>
          <c:y val="0.9417074757137629"/>
          <c:w val="0.36643071938223265"/>
          <c:h val="4.6198211501913833E-2"/>
        </c:manualLayout>
      </c:layout>
      <c:txPr>
        <a:bodyPr/>
        <a:lstStyle/>
        <a:p>
          <a:pPr>
            <a:defRPr lang="en-US" sz="1400" b="1" i="0" baseline="0"/>
          </a:pPr>
          <a:endParaRPr lang="en-US"/>
        </a:p>
      </c:txPr>
    </c:legend>
    <c:plotVisOnly val="1"/>
    <c:dispBlanksAs val="gap"/>
  </c:chart>
  <c:userShapes r:id="rId1"/>
</c:chartSpace>
</file>

<file path=xl/charts/chart16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a:t>Increase in Social Assistance Spending on the Disabled by Province</a:t>
            </a:r>
          </a:p>
          <a:p>
            <a:pPr>
              <a:defRPr lang="en-US"/>
            </a:pPr>
            <a:r>
              <a:rPr lang="en-US"/>
              <a:t>2005-06 to 2009-10</a:t>
            </a:r>
          </a:p>
        </c:rich>
      </c:tx>
    </c:title>
    <c:plotArea>
      <c:layout/>
      <c:barChart>
        <c:barDir val="col"/>
        <c:grouping val="clustered"/>
        <c:ser>
          <c:idx val="0"/>
          <c:order val="0"/>
          <c:dLbls>
            <c:dLbl>
              <c:idx val="3"/>
              <c:layout>
                <c:manualLayout>
                  <c:x val="0"/>
                  <c:y val="-1.6125750379097983E-2"/>
                </c:manualLayout>
              </c:layout>
              <c:showVal val="1"/>
            </c:dLbl>
            <c:dLbl>
              <c:idx val="4"/>
              <c:layout>
                <c:manualLayout>
                  <c:x val="0"/>
                  <c:y val="4.0314375947746077E-3"/>
                </c:manualLayout>
              </c:layout>
              <c:showVal val="1"/>
            </c:dLbl>
            <c:dLbl>
              <c:idx val="7"/>
              <c:layout>
                <c:manualLayout>
                  <c:x val="0"/>
                  <c:y val="-1.4110031581710735E-2"/>
                </c:manualLayout>
              </c:layout>
              <c:showVal val="1"/>
            </c:dLbl>
            <c:txPr>
              <a:bodyPr/>
              <a:lstStyle/>
              <a:p>
                <a:pPr>
                  <a:defRPr lang="en-US" sz="1200" b="1" i="0" baseline="0"/>
                </a:pPr>
                <a:endParaRPr lang="en-US"/>
              </a:p>
            </c:txPr>
            <c:showVal val="1"/>
          </c:dLbls>
          <c:cat>
            <c:strRef>
              <c:f>'Input to bar by province'!$A$4:$A$13</c:f>
              <c:strCache>
                <c:ptCount val="10"/>
                <c:pt idx="0">
                  <c:v>NF &amp; LAB</c:v>
                </c:pt>
                <c:pt idx="1">
                  <c:v>PEI</c:v>
                </c:pt>
                <c:pt idx="2">
                  <c:v>NS</c:v>
                </c:pt>
                <c:pt idx="3">
                  <c:v>NB</c:v>
                </c:pt>
                <c:pt idx="4">
                  <c:v>QUE</c:v>
                </c:pt>
                <c:pt idx="5">
                  <c:v>ONT</c:v>
                </c:pt>
                <c:pt idx="6">
                  <c:v>MAN</c:v>
                </c:pt>
                <c:pt idx="7">
                  <c:v>SASK</c:v>
                </c:pt>
                <c:pt idx="8">
                  <c:v>ALTA</c:v>
                </c:pt>
                <c:pt idx="9">
                  <c:v>BC</c:v>
                </c:pt>
              </c:strCache>
            </c:strRef>
          </c:cat>
          <c:val>
            <c:numRef>
              <c:f>'Input to bar by province'!$B$4:$B$13</c:f>
              <c:numCache>
                <c:formatCode>0.0%</c:formatCode>
                <c:ptCount val="10"/>
                <c:pt idx="0">
                  <c:v>4.0091944141176276E-2</c:v>
                </c:pt>
                <c:pt idx="1">
                  <c:v>7.8111035641511603E-2</c:v>
                </c:pt>
                <c:pt idx="2">
                  <c:v>1.545778834720578E-2</c:v>
                </c:pt>
                <c:pt idx="3">
                  <c:v>0.13342989046800044</c:v>
                </c:pt>
                <c:pt idx="4">
                  <c:v>8.1098010347137733E-2</c:v>
                </c:pt>
                <c:pt idx="5">
                  <c:v>0.34964607955778004</c:v>
                </c:pt>
                <c:pt idx="6">
                  <c:v>0.17281498909922952</c:v>
                </c:pt>
                <c:pt idx="7">
                  <c:v>0.18444730077120816</c:v>
                </c:pt>
                <c:pt idx="8">
                  <c:v>0.46023705210452198</c:v>
                </c:pt>
                <c:pt idx="9">
                  <c:v>0.25279100508034574</c:v>
                </c:pt>
              </c:numCache>
            </c:numRef>
          </c:val>
        </c:ser>
        <c:dLbls/>
        <c:gapWidth val="50"/>
        <c:axId val="95447680"/>
        <c:axId val="95457664"/>
      </c:barChart>
      <c:catAx>
        <c:axId val="95447680"/>
        <c:scaling>
          <c:orientation val="minMax"/>
        </c:scaling>
        <c:axPos val="b"/>
        <c:majorTickMark val="none"/>
        <c:tickLblPos val="nextTo"/>
        <c:txPr>
          <a:bodyPr/>
          <a:lstStyle/>
          <a:p>
            <a:pPr>
              <a:defRPr lang="en-US" sz="1200" b="1" i="0" baseline="0"/>
            </a:pPr>
            <a:endParaRPr lang="en-US"/>
          </a:p>
        </c:txPr>
        <c:crossAx val="95457664"/>
        <c:crosses val="autoZero"/>
        <c:auto val="1"/>
        <c:lblAlgn val="ctr"/>
        <c:lblOffset val="100"/>
      </c:catAx>
      <c:valAx>
        <c:axId val="95457664"/>
        <c:scaling>
          <c:orientation val="minMax"/>
        </c:scaling>
        <c:axPos val="l"/>
        <c:majorGridlines/>
        <c:numFmt formatCode="0%" sourceLinked="0"/>
        <c:majorTickMark val="none"/>
        <c:tickLblPos val="nextTo"/>
        <c:txPr>
          <a:bodyPr/>
          <a:lstStyle/>
          <a:p>
            <a:pPr>
              <a:defRPr lang="en-US"/>
            </a:pPr>
            <a:endParaRPr lang="en-US"/>
          </a:p>
        </c:txPr>
        <c:crossAx val="95447680"/>
        <c:crosses val="autoZero"/>
        <c:crossBetween val="between"/>
      </c:valAx>
    </c:plotArea>
    <c:plotVisOnly val="1"/>
    <c:dispBlanksAs val="gap"/>
  </c:chart>
</c:chartSpace>
</file>

<file path=xl/charts/chart16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a:t>Ratio of EI Income Recipients to Employment Income Earners</a:t>
            </a:r>
          </a:p>
          <a:p>
            <a:pPr>
              <a:defRPr lang="en-US"/>
            </a:pPr>
            <a:r>
              <a:rPr lang="en-US"/>
              <a:t>by Province and for Canada,</a:t>
            </a:r>
            <a:r>
              <a:rPr lang="en-US" baseline="0"/>
              <a:t> 2</a:t>
            </a:r>
            <a:r>
              <a:rPr lang="en-US"/>
              <a:t>013</a:t>
            </a:r>
          </a:p>
        </c:rich>
      </c:tx>
    </c:title>
    <c:plotArea>
      <c:layout>
        <c:manualLayout>
          <c:layoutTarget val="inner"/>
          <c:xMode val="edge"/>
          <c:yMode val="edge"/>
          <c:x val="4.8394431395163716E-2"/>
          <c:y val="0.14322189953086142"/>
          <c:w val="0.93550620568785758"/>
          <c:h val="0.73382687229326304"/>
        </c:manualLayout>
      </c:layout>
      <c:barChart>
        <c:barDir val="col"/>
        <c:grouping val="clustered"/>
        <c:ser>
          <c:idx val="0"/>
          <c:order val="0"/>
          <c:tx>
            <c:strRef>
              <c:f>'EI DATA'!$D$42</c:f>
              <c:strCache>
                <c:ptCount val="1"/>
                <c:pt idx="0">
                  <c:v>2013</c:v>
                </c:pt>
              </c:strCache>
            </c:strRef>
          </c:tx>
          <c:spPr>
            <a:solidFill>
              <a:schemeClr val="accent6"/>
            </a:solidFill>
          </c:spPr>
          <c:cat>
            <c:strRef>
              <c:f>'EI DATA'!$A$43:$A$53</c:f>
              <c:strCache>
                <c:ptCount val="11"/>
                <c:pt idx="0">
                  <c:v>NF &amp; LAB</c:v>
                </c:pt>
                <c:pt idx="1">
                  <c:v>PEI</c:v>
                </c:pt>
                <c:pt idx="2">
                  <c:v>NS</c:v>
                </c:pt>
                <c:pt idx="3">
                  <c:v>NB</c:v>
                </c:pt>
                <c:pt idx="4">
                  <c:v>QUE</c:v>
                </c:pt>
                <c:pt idx="5">
                  <c:v>ONT</c:v>
                </c:pt>
                <c:pt idx="6">
                  <c:v>MAN</c:v>
                </c:pt>
                <c:pt idx="7">
                  <c:v>SASK</c:v>
                </c:pt>
                <c:pt idx="8">
                  <c:v>ALTA</c:v>
                </c:pt>
                <c:pt idx="9">
                  <c:v>BC</c:v>
                </c:pt>
                <c:pt idx="10">
                  <c:v>CANADA</c:v>
                </c:pt>
              </c:strCache>
            </c:strRef>
          </c:cat>
          <c:val>
            <c:numRef>
              <c:f>'EI DATA'!$D$43:$D$53</c:f>
              <c:numCache>
                <c:formatCode>0.0%</c:formatCode>
                <c:ptCount val="11"/>
                <c:pt idx="0">
                  <c:v>0.31354073871034055</c:v>
                </c:pt>
                <c:pt idx="1">
                  <c:v>0.28431491111379853</c:v>
                </c:pt>
                <c:pt idx="2">
                  <c:v>0.18830620855937311</c:v>
                </c:pt>
                <c:pt idx="3">
                  <c:v>0.24545388154531511</c:v>
                </c:pt>
                <c:pt idx="4">
                  <c:v>0.17373212896514462</c:v>
                </c:pt>
                <c:pt idx="5">
                  <c:v>0.10241136887780855</c:v>
                </c:pt>
                <c:pt idx="6">
                  <c:v>9.8032569449561568E-2</c:v>
                </c:pt>
                <c:pt idx="7">
                  <c:v>8.76973961542203E-2</c:v>
                </c:pt>
                <c:pt idx="8">
                  <c:v>8.0764095275013992E-2</c:v>
                </c:pt>
                <c:pt idx="9">
                  <c:v>0.10135204585886538</c:v>
                </c:pt>
                <c:pt idx="10">
                  <c:v>0.12504751243950168</c:v>
                </c:pt>
              </c:numCache>
            </c:numRef>
          </c:val>
        </c:ser>
        <c:dLbls/>
        <c:gapWidth val="100"/>
        <c:axId val="96080256"/>
        <c:axId val="96081792"/>
      </c:barChart>
      <c:catAx>
        <c:axId val="96080256"/>
        <c:scaling>
          <c:orientation val="minMax"/>
        </c:scaling>
        <c:axPos val="b"/>
        <c:majorTickMark val="none"/>
        <c:tickLblPos val="nextTo"/>
        <c:txPr>
          <a:bodyPr/>
          <a:lstStyle/>
          <a:p>
            <a:pPr>
              <a:defRPr lang="en-US" sz="1100" b="1"/>
            </a:pPr>
            <a:endParaRPr lang="en-US"/>
          </a:p>
        </c:txPr>
        <c:crossAx val="96081792"/>
        <c:crosses val="autoZero"/>
        <c:auto val="1"/>
        <c:lblAlgn val="ctr"/>
        <c:lblOffset val="100"/>
      </c:catAx>
      <c:valAx>
        <c:axId val="96081792"/>
        <c:scaling>
          <c:orientation val="minMax"/>
        </c:scaling>
        <c:axPos val="l"/>
        <c:majorGridlines/>
        <c:numFmt formatCode="0%" sourceLinked="0"/>
        <c:majorTickMark val="none"/>
        <c:tickLblPos val="nextTo"/>
        <c:txPr>
          <a:bodyPr/>
          <a:lstStyle/>
          <a:p>
            <a:pPr>
              <a:defRPr lang="en-US"/>
            </a:pPr>
            <a:endParaRPr lang="en-US"/>
          </a:p>
        </c:txPr>
        <c:crossAx val="96080256"/>
        <c:crosses val="autoZero"/>
        <c:crossBetween val="between"/>
      </c:valAx>
    </c:plotArea>
    <c:plotVisOnly val="1"/>
    <c:dispBlanksAs val="gap"/>
  </c:chart>
  <c:userShapes r:id="rId1"/>
</c:chartSpace>
</file>

<file path=xl/charts/chart16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Ratio of EI Income Recipients to Employment Income Earners</a:t>
            </a:r>
            <a:endParaRPr lang="en-US"/>
          </a:p>
          <a:p>
            <a:pPr>
              <a:defRPr lang="en-US"/>
            </a:pPr>
            <a:r>
              <a:rPr lang="en-US" sz="1800" b="1" i="0" baseline="0"/>
              <a:t>by Province and for Canada, 2009 &amp; 2010</a:t>
            </a:r>
            <a:endParaRPr lang="en-US"/>
          </a:p>
        </c:rich>
      </c:tx>
    </c:title>
    <c:plotArea>
      <c:layout>
        <c:manualLayout>
          <c:layoutTarget val="inner"/>
          <c:xMode val="edge"/>
          <c:yMode val="edge"/>
          <c:x val="5.2859125000966498E-2"/>
          <c:y val="0.11320705208147469"/>
          <c:w val="0.93541584225030161"/>
          <c:h val="0.75900855986130178"/>
        </c:manualLayout>
      </c:layout>
      <c:barChart>
        <c:barDir val="col"/>
        <c:grouping val="clustered"/>
        <c:ser>
          <c:idx val="0"/>
          <c:order val="0"/>
          <c:tx>
            <c:strRef>
              <c:f>'EI DATA'!$B$2</c:f>
              <c:strCache>
                <c:ptCount val="1"/>
                <c:pt idx="0">
                  <c:v>2009</c:v>
                </c:pt>
              </c:strCache>
            </c:strRef>
          </c:tx>
          <c:cat>
            <c:strRef>
              <c:f>'EI DATA'!$A$3:$A$13</c:f>
              <c:strCache>
                <c:ptCount val="11"/>
                <c:pt idx="0">
                  <c:v>NF &amp; LAB</c:v>
                </c:pt>
                <c:pt idx="1">
                  <c:v>PEI</c:v>
                </c:pt>
                <c:pt idx="2">
                  <c:v>NS</c:v>
                </c:pt>
                <c:pt idx="3">
                  <c:v>NB</c:v>
                </c:pt>
                <c:pt idx="4">
                  <c:v>QUE</c:v>
                </c:pt>
                <c:pt idx="5">
                  <c:v>ONT</c:v>
                </c:pt>
                <c:pt idx="6">
                  <c:v>MAN</c:v>
                </c:pt>
                <c:pt idx="7">
                  <c:v>SASK</c:v>
                </c:pt>
                <c:pt idx="8">
                  <c:v>ALTA</c:v>
                </c:pt>
                <c:pt idx="9">
                  <c:v>BC</c:v>
                </c:pt>
                <c:pt idx="10">
                  <c:v>CANADA</c:v>
                </c:pt>
              </c:strCache>
            </c:strRef>
          </c:cat>
          <c:val>
            <c:numRef>
              <c:f>'EI DATA'!$B$3:$B$13</c:f>
              <c:numCache>
                <c:formatCode>0.0%</c:formatCode>
                <c:ptCount val="11"/>
                <c:pt idx="0">
                  <c:v>0.36699999999999999</c:v>
                </c:pt>
                <c:pt idx="1">
                  <c:v>0.311</c:v>
                </c:pt>
                <c:pt idx="2">
                  <c:v>0.21299999999999999</c:v>
                </c:pt>
                <c:pt idx="3">
                  <c:v>0.26100000000000001</c:v>
                </c:pt>
                <c:pt idx="4">
                  <c:v>0.20300000000000001</c:v>
                </c:pt>
                <c:pt idx="5">
                  <c:v>0.14199999999999999</c:v>
                </c:pt>
                <c:pt idx="6">
                  <c:v>0.121</c:v>
                </c:pt>
                <c:pt idx="7">
                  <c:v>0.108</c:v>
                </c:pt>
                <c:pt idx="8">
                  <c:v>0.112</c:v>
                </c:pt>
                <c:pt idx="9">
                  <c:v>0.13600000000000001</c:v>
                </c:pt>
                <c:pt idx="10">
                  <c:v>0.159</c:v>
                </c:pt>
              </c:numCache>
            </c:numRef>
          </c:val>
        </c:ser>
        <c:ser>
          <c:idx val="1"/>
          <c:order val="1"/>
          <c:tx>
            <c:strRef>
              <c:f>'EI DATA'!$C$2</c:f>
              <c:strCache>
                <c:ptCount val="1"/>
                <c:pt idx="0">
                  <c:v>2010</c:v>
                </c:pt>
              </c:strCache>
            </c:strRef>
          </c:tx>
          <c:spPr>
            <a:solidFill>
              <a:schemeClr val="accent3"/>
            </a:solidFill>
          </c:spPr>
          <c:cat>
            <c:strRef>
              <c:f>'EI DATA'!$A$3:$A$13</c:f>
              <c:strCache>
                <c:ptCount val="11"/>
                <c:pt idx="0">
                  <c:v>NF &amp; LAB</c:v>
                </c:pt>
                <c:pt idx="1">
                  <c:v>PEI</c:v>
                </c:pt>
                <c:pt idx="2">
                  <c:v>NS</c:v>
                </c:pt>
                <c:pt idx="3">
                  <c:v>NB</c:v>
                </c:pt>
                <c:pt idx="4">
                  <c:v>QUE</c:v>
                </c:pt>
                <c:pt idx="5">
                  <c:v>ONT</c:v>
                </c:pt>
                <c:pt idx="6">
                  <c:v>MAN</c:v>
                </c:pt>
                <c:pt idx="7">
                  <c:v>SASK</c:v>
                </c:pt>
                <c:pt idx="8">
                  <c:v>ALTA</c:v>
                </c:pt>
                <c:pt idx="9">
                  <c:v>BC</c:v>
                </c:pt>
                <c:pt idx="10">
                  <c:v>CANADA</c:v>
                </c:pt>
              </c:strCache>
            </c:strRef>
          </c:cat>
          <c:val>
            <c:numRef>
              <c:f>'EI DATA'!$C$3:$C$13</c:f>
              <c:numCache>
                <c:formatCode>0.0%</c:formatCode>
                <c:ptCount val="11"/>
                <c:pt idx="0">
                  <c:v>0.35599999999999998</c:v>
                </c:pt>
                <c:pt idx="1">
                  <c:v>0.315</c:v>
                </c:pt>
                <c:pt idx="2">
                  <c:v>0.21</c:v>
                </c:pt>
                <c:pt idx="3">
                  <c:v>0.26300000000000001</c:v>
                </c:pt>
                <c:pt idx="4">
                  <c:v>0.19800000000000001</c:v>
                </c:pt>
                <c:pt idx="5">
                  <c:v>0.129</c:v>
                </c:pt>
                <c:pt idx="6">
                  <c:v>0.122</c:v>
                </c:pt>
                <c:pt idx="7">
                  <c:v>0.107</c:v>
                </c:pt>
                <c:pt idx="8">
                  <c:v>0.11</c:v>
                </c:pt>
                <c:pt idx="9">
                  <c:v>0.13100000000000001</c:v>
                </c:pt>
                <c:pt idx="10">
                  <c:v>0.152</c:v>
                </c:pt>
              </c:numCache>
            </c:numRef>
          </c:val>
        </c:ser>
        <c:dLbls/>
        <c:axId val="96164864"/>
        <c:axId val="96166656"/>
      </c:barChart>
      <c:catAx>
        <c:axId val="96164864"/>
        <c:scaling>
          <c:orientation val="minMax"/>
        </c:scaling>
        <c:axPos val="b"/>
        <c:majorTickMark val="none"/>
        <c:tickLblPos val="nextTo"/>
        <c:txPr>
          <a:bodyPr/>
          <a:lstStyle/>
          <a:p>
            <a:pPr>
              <a:defRPr lang="en-US" sz="1200" b="1"/>
            </a:pPr>
            <a:endParaRPr lang="en-US"/>
          </a:p>
        </c:txPr>
        <c:crossAx val="96166656"/>
        <c:crosses val="autoZero"/>
        <c:auto val="1"/>
        <c:lblAlgn val="ctr"/>
        <c:lblOffset val="100"/>
      </c:catAx>
      <c:valAx>
        <c:axId val="96166656"/>
        <c:scaling>
          <c:orientation val="minMax"/>
        </c:scaling>
        <c:axPos val="l"/>
        <c:majorGridlines/>
        <c:numFmt formatCode="0%" sourceLinked="0"/>
        <c:majorTickMark val="none"/>
        <c:tickLblPos val="nextTo"/>
        <c:txPr>
          <a:bodyPr/>
          <a:lstStyle/>
          <a:p>
            <a:pPr>
              <a:defRPr lang="en-US"/>
            </a:pPr>
            <a:endParaRPr lang="en-US"/>
          </a:p>
        </c:txPr>
        <c:crossAx val="96164864"/>
        <c:crosses val="autoZero"/>
        <c:crossBetween val="between"/>
      </c:valAx>
    </c:plotArea>
    <c:legend>
      <c:legendPos val="b"/>
      <c:layout>
        <c:manualLayout>
          <c:xMode val="edge"/>
          <c:yMode val="edge"/>
          <c:x val="0.31678753490534495"/>
          <c:y val="0.94647184418527064"/>
          <c:w val="0.37082181747009474"/>
          <c:h val="4.1410193655213132E-2"/>
        </c:manualLayout>
      </c:layout>
      <c:txPr>
        <a:bodyPr/>
        <a:lstStyle/>
        <a:p>
          <a:pPr>
            <a:defRPr lang="en-US" sz="1200" b="1" i="0" baseline="0"/>
          </a:pPr>
          <a:endParaRPr lang="en-US"/>
        </a:p>
      </c:txPr>
    </c:legend>
    <c:plotVisOnly val="1"/>
    <c:dispBlanksAs val="gap"/>
  </c:chart>
</c:chartSpace>
</file>

<file path=xl/charts/chart169.xml><?xml version="1.0" encoding="utf-8"?>
<c:chartSpace xmlns:c="http://schemas.openxmlformats.org/drawingml/2006/chart" xmlns:a="http://schemas.openxmlformats.org/drawingml/2006/main" xmlns:r="http://schemas.openxmlformats.org/officeDocument/2006/relationships">
  <c:lang val="en-CA"/>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baseline="0">
                <a:solidFill>
                  <a:sysClr val="windowText" lastClr="000000"/>
                </a:solidFill>
                <a:latin typeface="+mn-lt"/>
                <a:ea typeface="+mn-ea"/>
                <a:cs typeface="+mn-cs"/>
              </a:defRPr>
            </a:pPr>
            <a:r>
              <a:rPr lang="en-US" sz="1800" b="1" i="0" baseline="0"/>
              <a:t>EI Payments Per Capita, by Province and for Canada, 2009 &amp; 2010</a:t>
            </a:r>
            <a:endParaRPr lang="en-US"/>
          </a:p>
        </c:rich>
      </c:tx>
    </c:title>
    <c:plotArea>
      <c:layout>
        <c:manualLayout>
          <c:layoutTarget val="inner"/>
          <c:xMode val="edge"/>
          <c:yMode val="edge"/>
          <c:x val="5.6603749633159665E-2"/>
          <c:y val="0.12941490598401514"/>
          <c:w val="0.91994618486937607"/>
          <c:h val="0.74078104559885005"/>
        </c:manualLayout>
      </c:layout>
      <c:barChart>
        <c:barDir val="col"/>
        <c:grouping val="clustered"/>
        <c:ser>
          <c:idx val="0"/>
          <c:order val="0"/>
          <c:tx>
            <c:strRef>
              <c:f>'EI DATA'!$B$19</c:f>
              <c:strCache>
                <c:ptCount val="1"/>
                <c:pt idx="0">
                  <c:v>2009</c:v>
                </c:pt>
              </c:strCache>
            </c:strRef>
          </c:tx>
          <c:cat>
            <c:strRef>
              <c:f>'EI DATA'!$A$20:$A$30</c:f>
              <c:strCache>
                <c:ptCount val="11"/>
                <c:pt idx="0">
                  <c:v>NF &amp; LAB</c:v>
                </c:pt>
                <c:pt idx="1">
                  <c:v>PEI</c:v>
                </c:pt>
                <c:pt idx="2">
                  <c:v>NS</c:v>
                </c:pt>
                <c:pt idx="3">
                  <c:v>NB</c:v>
                </c:pt>
                <c:pt idx="4">
                  <c:v>QUE</c:v>
                </c:pt>
                <c:pt idx="5">
                  <c:v>ONT</c:v>
                </c:pt>
                <c:pt idx="6">
                  <c:v>MAN</c:v>
                </c:pt>
                <c:pt idx="7">
                  <c:v>SASK</c:v>
                </c:pt>
                <c:pt idx="8">
                  <c:v>ALTA</c:v>
                </c:pt>
                <c:pt idx="9">
                  <c:v>BC</c:v>
                </c:pt>
                <c:pt idx="10">
                  <c:v>CANADA</c:v>
                </c:pt>
              </c:strCache>
            </c:strRef>
          </c:cat>
          <c:val>
            <c:numRef>
              <c:f>'EI DATA'!$B$20:$B$30</c:f>
              <c:numCache>
                <c:formatCode>"$"#,##0</c:formatCode>
                <c:ptCount val="11"/>
                <c:pt idx="0">
                  <c:v>1917</c:v>
                </c:pt>
                <c:pt idx="1">
                  <c:v>1509</c:v>
                </c:pt>
                <c:pt idx="2">
                  <c:v>822</c:v>
                </c:pt>
                <c:pt idx="3">
                  <c:v>1112</c:v>
                </c:pt>
                <c:pt idx="4">
                  <c:v>698</c:v>
                </c:pt>
                <c:pt idx="5">
                  <c:v>506</c:v>
                </c:pt>
                <c:pt idx="6">
                  <c:v>375</c:v>
                </c:pt>
                <c:pt idx="7">
                  <c:v>389</c:v>
                </c:pt>
                <c:pt idx="8">
                  <c:v>445</c:v>
                </c:pt>
                <c:pt idx="9">
                  <c:v>478</c:v>
                </c:pt>
                <c:pt idx="10">
                  <c:v>580</c:v>
                </c:pt>
              </c:numCache>
            </c:numRef>
          </c:val>
        </c:ser>
        <c:ser>
          <c:idx val="1"/>
          <c:order val="1"/>
          <c:tx>
            <c:strRef>
              <c:f>'EI DATA'!$C$19</c:f>
              <c:strCache>
                <c:ptCount val="1"/>
                <c:pt idx="0">
                  <c:v>2010</c:v>
                </c:pt>
              </c:strCache>
            </c:strRef>
          </c:tx>
          <c:cat>
            <c:strRef>
              <c:f>'EI DATA'!$A$20:$A$30</c:f>
              <c:strCache>
                <c:ptCount val="11"/>
                <c:pt idx="0">
                  <c:v>NF &amp; LAB</c:v>
                </c:pt>
                <c:pt idx="1">
                  <c:v>PEI</c:v>
                </c:pt>
                <c:pt idx="2">
                  <c:v>NS</c:v>
                </c:pt>
                <c:pt idx="3">
                  <c:v>NB</c:v>
                </c:pt>
                <c:pt idx="4">
                  <c:v>QUE</c:v>
                </c:pt>
                <c:pt idx="5">
                  <c:v>ONT</c:v>
                </c:pt>
                <c:pt idx="6">
                  <c:v>MAN</c:v>
                </c:pt>
                <c:pt idx="7">
                  <c:v>SASK</c:v>
                </c:pt>
                <c:pt idx="8">
                  <c:v>ALTA</c:v>
                </c:pt>
                <c:pt idx="9">
                  <c:v>BC</c:v>
                </c:pt>
                <c:pt idx="10">
                  <c:v>CANADA</c:v>
                </c:pt>
              </c:strCache>
            </c:strRef>
          </c:cat>
          <c:val>
            <c:numRef>
              <c:f>'EI DATA'!$C$20:$C$30</c:f>
              <c:numCache>
                <c:formatCode>General</c:formatCode>
                <c:ptCount val="11"/>
                <c:pt idx="0">
                  <c:v>1835</c:v>
                </c:pt>
                <c:pt idx="1">
                  <c:v>1529</c:v>
                </c:pt>
                <c:pt idx="2">
                  <c:v>819</c:v>
                </c:pt>
                <c:pt idx="3">
                  <c:v>1113</c:v>
                </c:pt>
                <c:pt idx="4">
                  <c:v>689</c:v>
                </c:pt>
                <c:pt idx="5">
                  <c:v>448</c:v>
                </c:pt>
                <c:pt idx="6">
                  <c:v>386</c:v>
                </c:pt>
                <c:pt idx="7">
                  <c:v>385</c:v>
                </c:pt>
                <c:pt idx="8">
                  <c:v>423</c:v>
                </c:pt>
                <c:pt idx="9">
                  <c:v>457</c:v>
                </c:pt>
                <c:pt idx="10">
                  <c:v>549</c:v>
                </c:pt>
              </c:numCache>
            </c:numRef>
          </c:val>
        </c:ser>
        <c:dLbls/>
        <c:axId val="96745728"/>
        <c:axId val="96751616"/>
      </c:barChart>
      <c:catAx>
        <c:axId val="96745728"/>
        <c:scaling>
          <c:orientation val="minMax"/>
        </c:scaling>
        <c:axPos val="b"/>
        <c:majorTickMark val="none"/>
        <c:tickLblPos val="nextTo"/>
        <c:txPr>
          <a:bodyPr/>
          <a:lstStyle/>
          <a:p>
            <a:pPr>
              <a:defRPr lang="en-US" sz="1200" b="1"/>
            </a:pPr>
            <a:endParaRPr lang="en-US"/>
          </a:p>
        </c:txPr>
        <c:crossAx val="96751616"/>
        <c:crosses val="autoZero"/>
        <c:auto val="1"/>
        <c:lblAlgn val="ctr"/>
        <c:lblOffset val="100"/>
      </c:catAx>
      <c:valAx>
        <c:axId val="96751616"/>
        <c:scaling>
          <c:orientation val="minMax"/>
          <c:max val="2000"/>
        </c:scaling>
        <c:axPos val="l"/>
        <c:majorGridlines/>
        <c:numFmt formatCode="&quot;$&quot;#,##0" sourceLinked="1"/>
        <c:majorTickMark val="none"/>
        <c:tickLblPos val="nextTo"/>
        <c:txPr>
          <a:bodyPr/>
          <a:lstStyle/>
          <a:p>
            <a:pPr>
              <a:defRPr lang="en-US"/>
            </a:pPr>
            <a:endParaRPr lang="en-US"/>
          </a:p>
        </c:txPr>
        <c:crossAx val="96745728"/>
        <c:crosses val="autoZero"/>
        <c:crossBetween val="between"/>
      </c:valAx>
    </c:plotArea>
    <c:legend>
      <c:legendPos val="b"/>
      <c:layout>
        <c:manualLayout>
          <c:xMode val="edge"/>
          <c:yMode val="edge"/>
          <c:x val="0.37394706955541374"/>
          <c:y val="0.94647184418527064"/>
          <c:w val="0.25503711907636273"/>
          <c:h val="4.1410193655213132E-2"/>
        </c:manualLayout>
      </c:layout>
      <c:txPr>
        <a:bodyPr/>
        <a:lstStyle/>
        <a:p>
          <a:pPr>
            <a:defRPr lang="en-US" sz="1200" b="1" i="0" baseline="0"/>
          </a:pPr>
          <a:endParaRPr lang="en-US"/>
        </a:p>
      </c:txPr>
    </c:legend>
    <c:plotVisOnly val="1"/>
    <c:dispBlanksAs val="gap"/>
  </c:chart>
</c:chartSpace>
</file>

<file path=xl/charts/chart1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BENEFIT EXPENDITURES FOR PERSONS WITH DISABILITIES </a:t>
            </a:r>
            <a:endParaRPr lang="en-US"/>
          </a:p>
          <a:p>
            <a:pPr>
              <a:defRPr lang="en-US"/>
            </a:pPr>
            <a:r>
              <a:rPr lang="en-US" sz="1800" b="1" i="0" baseline="0"/>
              <a:t>ONTARIO 2013</a:t>
            </a:r>
            <a:br>
              <a:rPr lang="en-US" sz="1800" b="1" i="0" baseline="0"/>
            </a:br>
            <a:r>
              <a:rPr lang="en-US" sz="1800" b="1" i="0" baseline="0"/>
              <a:t>$13.1 B</a:t>
            </a:r>
            <a:endParaRPr lang="en-US"/>
          </a:p>
        </c:rich>
      </c:tx>
    </c:title>
    <c:plotArea>
      <c:layout/>
      <c:pieChart>
        <c:varyColors val="1"/>
        <c:ser>
          <c:idx val="0"/>
          <c:order val="1"/>
          <c:dLbls>
            <c:dLbl>
              <c:idx val="0"/>
              <c:layout>
                <c:manualLayout>
                  <c:x val="6.4463452530223883E-2"/>
                  <c:y val="3.5756001090500762E-2"/>
                </c:manualLayout>
              </c:layout>
              <c:tx>
                <c:rich>
                  <a:bodyPr/>
                  <a:lstStyle/>
                  <a:p>
                    <a:r>
                      <a:rPr lang="en-US" sz="1300"/>
                      <a:t>D</a:t>
                    </a:r>
                    <a:r>
                      <a:rPr lang="en-US"/>
                      <a:t>isability Tax Measures $1 B</a:t>
                    </a:r>
                  </a:p>
                </c:rich>
              </c:tx>
              <c:showVal val="1"/>
              <c:showCatName val="1"/>
            </c:dLbl>
            <c:dLbl>
              <c:idx val="1"/>
              <c:layout>
                <c:manualLayout>
                  <c:x val="-0.15200832782051191"/>
                  <c:y val="0.10517358725817257"/>
                </c:manualLayout>
              </c:layout>
              <c:tx>
                <c:rich>
                  <a:bodyPr/>
                  <a:lstStyle/>
                  <a:p>
                    <a:r>
                      <a:rPr lang="en-US" sz="1300"/>
                      <a:t>C</a:t>
                    </a:r>
                    <a:r>
                      <a:rPr lang="en-US"/>
                      <a:t>PP Disability</a:t>
                    </a:r>
                  </a:p>
                  <a:p>
                    <a:r>
                      <a:rPr lang="en-US"/>
                      <a:t>$2.0 B</a:t>
                    </a:r>
                  </a:p>
                </c:rich>
              </c:tx>
              <c:showVal val="1"/>
              <c:showCatName val="1"/>
            </c:dLbl>
            <c:dLbl>
              <c:idx val="2"/>
              <c:layout>
                <c:manualLayout>
                  <c:x val="3.9843514292278275E-2"/>
                  <c:y val="-3.0995545850917881E-2"/>
                </c:manualLayout>
              </c:layout>
              <c:tx>
                <c:rich>
                  <a:bodyPr/>
                  <a:lstStyle/>
                  <a:p>
                    <a:r>
                      <a:rPr lang="en-US" sz="1300"/>
                      <a:t>E</a:t>
                    </a:r>
                    <a:r>
                      <a:rPr lang="en-US"/>
                      <a:t>I Sickness</a:t>
                    </a:r>
                  </a:p>
                  <a:p>
                    <a:r>
                      <a:rPr lang="en-US"/>
                      <a:t>$0.4 B</a:t>
                    </a:r>
                  </a:p>
                </c:rich>
              </c:tx>
              <c:showVal val="1"/>
              <c:showCatName val="1"/>
            </c:dLbl>
            <c:dLbl>
              <c:idx val="3"/>
              <c:layout>
                <c:manualLayout>
                  <c:x val="3.1050852203790801E-2"/>
                  <c:y val="7.6837566861486739E-2"/>
                </c:manualLayout>
              </c:layout>
              <c:tx>
                <c:rich>
                  <a:bodyPr/>
                  <a:lstStyle/>
                  <a:p>
                    <a:r>
                      <a:rPr lang="en-US" sz="1300"/>
                      <a:t>V</a:t>
                    </a:r>
                    <a:r>
                      <a:rPr lang="en-US"/>
                      <a:t>eterans' Disability Pensions &amp; Awards,</a:t>
                    </a:r>
                  </a:p>
                  <a:p>
                    <a:r>
                      <a:rPr lang="en-US"/>
                      <a:t>$0.7</a:t>
                    </a:r>
                    <a:r>
                      <a:rPr lang="en-US" baseline="0"/>
                      <a:t> B</a:t>
                    </a:r>
                    <a:endParaRPr lang="en-US"/>
                  </a:p>
                </c:rich>
              </c:tx>
              <c:showVal val="1"/>
              <c:showCatName val="1"/>
            </c:dLbl>
            <c:dLbl>
              <c:idx val="4"/>
              <c:layout>
                <c:manualLayout>
                  <c:x val="-4.5313317408429532E-2"/>
                  <c:y val="-0.20114226141641844"/>
                </c:manualLayout>
              </c:layout>
              <c:tx>
                <c:rich>
                  <a:bodyPr/>
                  <a:lstStyle/>
                  <a:p>
                    <a:r>
                      <a:rPr lang="en-US" sz="1300"/>
                      <a:t>O</a:t>
                    </a:r>
                    <a:r>
                      <a:rPr lang="en-US"/>
                      <a:t>DSP</a:t>
                    </a:r>
                  </a:p>
                  <a:p>
                    <a:r>
                      <a:rPr lang="en-US"/>
                      <a:t>$4.2 B</a:t>
                    </a:r>
                  </a:p>
                </c:rich>
              </c:tx>
              <c:showVal val="1"/>
              <c:showCatName val="1"/>
            </c:dLbl>
            <c:dLbl>
              <c:idx val="5"/>
              <c:layout>
                <c:manualLayout>
                  <c:x val="-3.7941014193093682E-2"/>
                  <c:y val="3.0106495406360876E-2"/>
                </c:manualLayout>
              </c:layout>
              <c:tx>
                <c:rich>
                  <a:bodyPr/>
                  <a:lstStyle/>
                  <a:p>
                    <a:r>
                      <a:rPr lang="en-US" sz="1300"/>
                      <a:t>F</a:t>
                    </a:r>
                    <a:r>
                      <a:rPr lang="en-US"/>
                      <a:t>irst Nations SA for Disabled</a:t>
                    </a:r>
                  </a:p>
                  <a:p>
                    <a:r>
                      <a:rPr lang="en-US"/>
                      <a:t>&lt; $0.1</a:t>
                    </a:r>
                    <a:r>
                      <a:rPr lang="en-US" baseline="0"/>
                      <a:t> B</a:t>
                    </a:r>
                    <a:endParaRPr lang="en-US"/>
                  </a:p>
                </c:rich>
              </c:tx>
              <c:showVal val="1"/>
              <c:showCatName val="1"/>
            </c:dLbl>
            <c:dLbl>
              <c:idx val="7"/>
              <c:layout>
                <c:manualLayout>
                  <c:x val="0.16489720087061074"/>
                  <c:y val="-5.7035382174125515E-2"/>
                </c:manualLayout>
              </c:layout>
              <c:tx>
                <c:rich>
                  <a:bodyPr/>
                  <a:lstStyle/>
                  <a:p>
                    <a:r>
                      <a:rPr lang="en-US" sz="1300"/>
                      <a:t>W</a:t>
                    </a:r>
                    <a:r>
                      <a:rPr lang="en-US"/>
                      <a:t>orkers' </a:t>
                    </a:r>
                  </a:p>
                  <a:p>
                    <a:r>
                      <a:rPr lang="en-US"/>
                      <a:t>Compensation</a:t>
                    </a:r>
                  </a:p>
                  <a:p>
                    <a:r>
                      <a:rPr lang="en-US"/>
                      <a:t>$ 2.0 B</a:t>
                    </a:r>
                  </a:p>
                </c:rich>
              </c:tx>
              <c:showVal val="1"/>
              <c:showCatName val="1"/>
            </c:dLbl>
            <c:dLbl>
              <c:idx val="8"/>
              <c:layout>
                <c:manualLayout>
                  <c:x val="0.13619431473551835"/>
                  <c:y val="0.1676598845060559"/>
                </c:manualLayout>
              </c:layout>
              <c:tx>
                <c:rich>
                  <a:bodyPr/>
                  <a:lstStyle/>
                  <a:p>
                    <a:r>
                      <a:rPr lang="en-US" sz="1300"/>
                      <a:t>P</a:t>
                    </a:r>
                    <a:r>
                      <a:rPr lang="en-US"/>
                      <a:t>rivate Disability Insurance</a:t>
                    </a:r>
                  </a:p>
                  <a:p>
                    <a:r>
                      <a:rPr lang="en-US"/>
                      <a:t>$2.9</a:t>
                    </a:r>
                    <a:r>
                      <a:rPr lang="en-US" baseline="0"/>
                      <a:t> B</a:t>
                    </a:r>
                    <a:endParaRPr lang="en-US"/>
                  </a:p>
                </c:rich>
              </c:tx>
              <c:showVal val="1"/>
              <c:showCatName val="1"/>
            </c:dLbl>
            <c:txPr>
              <a:bodyPr/>
              <a:lstStyle/>
              <a:p>
                <a:pPr>
                  <a:defRPr sz="1300" b="1" baseline="0"/>
                </a:pPr>
                <a:endParaRPr lang="en-US"/>
              </a:p>
            </c:txPr>
            <c:showVal val="1"/>
            <c:showCatName val="1"/>
            <c:showLeaderLines val="1"/>
          </c:dLbls>
          <c:cat>
            <c:strRef>
              <c:f>'CAN &amp; ON input to 2013-14'!$A$55:$A$63</c:f>
              <c:strCache>
                <c:ptCount val="9"/>
                <c:pt idx="0">
                  <c:v>Disability Tax Measures</c:v>
                </c:pt>
                <c:pt idx="1">
                  <c:v>CPP Disability</c:v>
                </c:pt>
                <c:pt idx="2">
                  <c:v>EI Sickness</c:v>
                </c:pt>
                <c:pt idx="3">
                  <c:v>Veterans' Disability Pensions &amp; Awards</c:v>
                </c:pt>
                <c:pt idx="4">
                  <c:v>ODSP</c:v>
                </c:pt>
                <c:pt idx="5">
                  <c:v>First Nations SA for Disabled</c:v>
                </c:pt>
                <c:pt idx="6">
                  <c:v>ODSP &amp; FN SA</c:v>
                </c:pt>
                <c:pt idx="7">
                  <c:v>Workers' Compensation </c:v>
                </c:pt>
                <c:pt idx="8">
                  <c:v>Private Disability Insurance</c:v>
                </c:pt>
              </c:strCache>
            </c:strRef>
          </c:cat>
          <c:val>
            <c:numRef>
              <c:f>'CAN &amp; ON input to 2013-14'!$L$55:$L$63</c:f>
              <c:numCache>
                <c:formatCode>#,##0.0</c:formatCode>
                <c:ptCount val="9"/>
                <c:pt idx="0">
                  <c:v>973.34725000000003</c:v>
                </c:pt>
                <c:pt idx="1">
                  <c:v>1979.9</c:v>
                </c:pt>
                <c:pt idx="2">
                  <c:v>368.9</c:v>
                </c:pt>
                <c:pt idx="3">
                  <c:v>679.9</c:v>
                </c:pt>
                <c:pt idx="4">
                  <c:v>4165.7</c:v>
                </c:pt>
                <c:pt idx="5">
                  <c:v>76.405000000000001</c:v>
                </c:pt>
                <c:pt idx="7">
                  <c:v>2014.5</c:v>
                </c:pt>
                <c:pt idx="8">
                  <c:v>2860</c:v>
                </c:pt>
              </c:numCache>
            </c:numRef>
          </c:val>
        </c:ser>
        <c:ser>
          <c:idx val="4"/>
          <c:order val="0"/>
          <c:dLbls>
            <c:dLbl>
              <c:idx val="0"/>
              <c:tx>
                <c:rich>
                  <a:bodyPr/>
                  <a:lstStyle/>
                  <a:p>
                    <a:r>
                      <a:rPr lang="en-US"/>
                      <a:t>Disability Tax Measures</a:t>
                    </a:r>
                  </a:p>
                  <a:p>
                    <a:r>
                      <a:rPr lang="en-US"/>
                      <a:t>$0.8</a:t>
                    </a:r>
                    <a:r>
                      <a:rPr lang="en-US" baseline="0"/>
                      <a:t> B</a:t>
                    </a:r>
                    <a:endParaRPr lang="en-US"/>
                  </a:p>
                </c:rich>
              </c:tx>
              <c:showVal val="1"/>
              <c:showCatName val="1"/>
            </c:dLbl>
            <c:dLbl>
              <c:idx val="1"/>
              <c:layout>
                <c:manualLayout>
                  <c:x val="-0.12946123487760752"/>
                  <c:y val="0.11608429323343852"/>
                </c:manualLayout>
              </c:layout>
              <c:tx>
                <c:rich>
                  <a:bodyPr/>
                  <a:lstStyle/>
                  <a:p>
                    <a:r>
                      <a:rPr lang="en-US"/>
                      <a:t>CPP Disability</a:t>
                    </a:r>
                  </a:p>
                  <a:p>
                    <a:r>
                      <a:rPr lang="en-US"/>
                      <a:t>$1.8 B</a:t>
                    </a:r>
                  </a:p>
                </c:rich>
              </c:tx>
              <c:showVal val="1"/>
              <c:showCatName val="1"/>
            </c:dLbl>
            <c:dLbl>
              <c:idx val="2"/>
              <c:layout>
                <c:manualLayout>
                  <c:x val="2.4764554019988533E-2"/>
                  <c:y val="-7.4081633754370961E-3"/>
                </c:manualLayout>
              </c:layout>
              <c:tx>
                <c:rich>
                  <a:bodyPr/>
                  <a:lstStyle/>
                  <a:p>
                    <a:r>
                      <a:rPr lang="en-US"/>
                      <a:t>EI Sickness</a:t>
                    </a:r>
                  </a:p>
                  <a:p>
                    <a:r>
                      <a:rPr lang="en-US"/>
                      <a:t>$0.3 B</a:t>
                    </a:r>
                  </a:p>
                </c:rich>
              </c:tx>
              <c:showVal val="1"/>
              <c:showCatName val="1"/>
            </c:dLbl>
            <c:dLbl>
              <c:idx val="3"/>
              <c:layout>
                <c:manualLayout>
                  <c:x val="-0.15762797495367817"/>
                  <c:y val="-2.5941031178249602E-2"/>
                </c:manualLayout>
              </c:layout>
              <c:tx>
                <c:rich>
                  <a:bodyPr/>
                  <a:lstStyle/>
                  <a:p>
                    <a:r>
                      <a:rPr lang="en-US"/>
                      <a:t>Veterans' Disability Pensions &amp; Awards</a:t>
                    </a:r>
                  </a:p>
                  <a:p>
                    <a:r>
                      <a:rPr lang="en-US"/>
                      <a:t>$0.7 B</a:t>
                    </a:r>
                  </a:p>
                </c:rich>
              </c:tx>
              <c:showVal val="1"/>
              <c:showCatName val="1"/>
            </c:dLbl>
            <c:dLbl>
              <c:idx val="4"/>
              <c:layout>
                <c:manualLayout>
                  <c:x val="-6.0182230498162924E-2"/>
                  <c:y val="-0.1771988238360177"/>
                </c:manualLayout>
              </c:layout>
              <c:tx>
                <c:rich>
                  <a:bodyPr/>
                  <a:lstStyle/>
                  <a:p>
                    <a:r>
                      <a:rPr lang="en-US"/>
                      <a:t>ODSP</a:t>
                    </a:r>
                  </a:p>
                  <a:p>
                    <a:r>
                      <a:rPr lang="en-US"/>
                      <a:t>$3.5 B</a:t>
                    </a:r>
                  </a:p>
                </c:rich>
              </c:tx>
              <c:showVal val="1"/>
              <c:showCatName val="1"/>
            </c:dLbl>
            <c:dLbl>
              <c:idx val="5"/>
              <c:layout>
                <c:manualLayout>
                  <c:x val="-3.4490205663887254E-2"/>
                  <c:y val="7.5179962421922713E-3"/>
                </c:manualLayout>
              </c:layout>
              <c:tx>
                <c:rich>
                  <a:bodyPr/>
                  <a:lstStyle/>
                  <a:p>
                    <a:r>
                      <a:rPr lang="en-US"/>
                      <a:t>First Nations SA for Disabled</a:t>
                    </a:r>
                  </a:p>
                  <a:p>
                    <a:r>
                      <a:rPr lang="en-US"/>
                      <a:t>&lt;$0.1</a:t>
                    </a:r>
                    <a:r>
                      <a:rPr lang="en-US" baseline="0"/>
                      <a:t> B</a:t>
                    </a:r>
                    <a:endParaRPr lang="en-US"/>
                  </a:p>
                </c:rich>
              </c:tx>
              <c:showVal val="1"/>
              <c:showCatName val="1"/>
            </c:dLbl>
            <c:dLbl>
              <c:idx val="6"/>
              <c:layout>
                <c:manualLayout>
                  <c:x val="0.22460743253537463"/>
                  <c:y val="-7.1091227623537423E-2"/>
                </c:manualLayout>
              </c:layout>
              <c:tx>
                <c:rich>
                  <a:bodyPr/>
                  <a:lstStyle/>
                  <a:p>
                    <a:r>
                      <a:rPr lang="en-US"/>
                      <a:t>Workers' Compensation</a:t>
                    </a:r>
                  </a:p>
                  <a:p>
                    <a:r>
                      <a:rPr lang="en-US"/>
                      <a:t>$2.3 B</a:t>
                    </a:r>
                  </a:p>
                </c:rich>
              </c:tx>
              <c:showVal val="1"/>
              <c:showCatName val="1"/>
            </c:dLbl>
            <c:dLbl>
              <c:idx val="7"/>
              <c:layout>
                <c:manualLayout>
                  <c:x val="0.12855329764967738"/>
                  <c:y val="0.18742772378367242"/>
                </c:manualLayout>
              </c:layout>
              <c:tx>
                <c:rich>
                  <a:bodyPr/>
                  <a:lstStyle/>
                  <a:p>
                    <a:r>
                      <a:rPr lang="en-US"/>
                      <a:t>Private Disability Insurance</a:t>
                    </a:r>
                  </a:p>
                  <a:p>
                    <a:r>
                      <a:rPr lang="en-US"/>
                      <a:t>$2.5 B</a:t>
                    </a:r>
                  </a:p>
                </c:rich>
              </c:tx>
              <c:showVal val="1"/>
              <c:showCatName val="1"/>
            </c:dLbl>
            <c:txPr>
              <a:bodyPr/>
              <a:lstStyle/>
              <a:p>
                <a:pPr>
                  <a:defRPr lang="en-US" sz="1200" b="1" i="0" baseline="0"/>
                </a:pPr>
                <a:endParaRPr lang="en-US"/>
              </a:p>
            </c:txPr>
            <c:showVal val="1"/>
            <c:showCatName val="1"/>
            <c:showLeaderLines val="1"/>
          </c:dLbls>
          <c:cat>
            <c:strRef>
              <c:f>('CAN &amp; ON input to 2013-14'!$A$55:$A$60,'CAN &amp; ON input to 2013-14'!$A$62:$A$63)</c:f>
              <c:strCache>
                <c:ptCount val="8"/>
                <c:pt idx="0">
                  <c:v>Disability Tax Measures</c:v>
                </c:pt>
                <c:pt idx="1">
                  <c:v>CPP Disability</c:v>
                </c:pt>
                <c:pt idx="2">
                  <c:v>EI Sickness</c:v>
                </c:pt>
                <c:pt idx="3">
                  <c:v>Veterans' Disability Pensions &amp; Awards</c:v>
                </c:pt>
                <c:pt idx="4">
                  <c:v>ODSP</c:v>
                </c:pt>
                <c:pt idx="5">
                  <c:v>First Nations SA for Disabled</c:v>
                </c:pt>
                <c:pt idx="6">
                  <c:v>Workers' Compensation </c:v>
                </c:pt>
                <c:pt idx="7">
                  <c:v>Private Disability Insurance</c:v>
                </c:pt>
              </c:strCache>
            </c:strRef>
          </c:cat>
          <c:val>
            <c:numRef>
              <c:f>('CAN &amp; ON input to 2013-14'!$F$55:$F$60,'CAN &amp; ON input to 2013-14'!$F$62:$F$63)</c:f>
              <c:numCache>
                <c:formatCode>#,##0.0</c:formatCode>
                <c:ptCount val="8"/>
                <c:pt idx="0">
                  <c:v>849.87520000000006</c:v>
                </c:pt>
                <c:pt idx="1">
                  <c:v>1827.9</c:v>
                </c:pt>
                <c:pt idx="2">
                  <c:v>308.5</c:v>
                </c:pt>
                <c:pt idx="3">
                  <c:v>708.1</c:v>
                </c:pt>
                <c:pt idx="4">
                  <c:v>3535.8</c:v>
                </c:pt>
                <c:pt idx="5">
                  <c:v>65.67</c:v>
                </c:pt>
                <c:pt idx="6">
                  <c:v>2263.6</c:v>
                </c:pt>
                <c:pt idx="7">
                  <c:v>2459</c:v>
                </c:pt>
              </c:numCache>
            </c:numRef>
          </c:val>
        </c:ser>
        <c:dLbls>
          <c:showCatName val="1"/>
          <c:showPercent val="1"/>
        </c:dLbls>
        <c:firstSliceAng val="0"/>
      </c:pieChart>
    </c:plotArea>
    <c:plotVisOnly val="1"/>
    <c:dispBlanksAs val="zero"/>
  </c:chart>
</c:chartSpace>
</file>

<file path=xl/charts/chart17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a:t>EI Payments Per</a:t>
            </a:r>
            <a:r>
              <a:rPr lang="en-US" baseline="0"/>
              <a:t> Capita, by Province and for Canada, 2013</a:t>
            </a:r>
            <a:endParaRPr lang="en-US"/>
          </a:p>
        </c:rich>
      </c:tx>
    </c:title>
    <c:plotArea>
      <c:layout>
        <c:manualLayout>
          <c:layoutTarget val="inner"/>
          <c:xMode val="edge"/>
          <c:yMode val="edge"/>
          <c:x val="6.3842559524426898E-2"/>
          <c:y val="8.4816526735573564E-2"/>
          <c:w val="0.92005807755860614"/>
          <c:h val="0.8065094067406271"/>
        </c:manualLayout>
      </c:layout>
      <c:barChart>
        <c:barDir val="col"/>
        <c:grouping val="clustered"/>
        <c:ser>
          <c:idx val="0"/>
          <c:order val="0"/>
          <c:tx>
            <c:strRef>
              <c:f>'EI DATA'!$D$87</c:f>
              <c:strCache>
                <c:ptCount val="1"/>
                <c:pt idx="0">
                  <c:v>2013</c:v>
                </c:pt>
              </c:strCache>
            </c:strRef>
          </c:tx>
          <c:spPr>
            <a:solidFill>
              <a:srgbClr val="F79646"/>
            </a:solidFill>
          </c:spPr>
          <c:cat>
            <c:strRef>
              <c:f>'EI DATA'!$A$88:$A$98</c:f>
              <c:strCache>
                <c:ptCount val="11"/>
                <c:pt idx="0">
                  <c:v>NF &amp; LAB</c:v>
                </c:pt>
                <c:pt idx="1">
                  <c:v>PEI</c:v>
                </c:pt>
                <c:pt idx="2">
                  <c:v>NS</c:v>
                </c:pt>
                <c:pt idx="3">
                  <c:v>NB</c:v>
                </c:pt>
                <c:pt idx="4">
                  <c:v>QUE</c:v>
                </c:pt>
                <c:pt idx="5">
                  <c:v>ONT</c:v>
                </c:pt>
                <c:pt idx="6">
                  <c:v>MAN</c:v>
                </c:pt>
                <c:pt idx="7">
                  <c:v>SASK</c:v>
                </c:pt>
                <c:pt idx="8">
                  <c:v>ALTA</c:v>
                </c:pt>
                <c:pt idx="9">
                  <c:v>BC</c:v>
                </c:pt>
                <c:pt idx="10">
                  <c:v>CANADA</c:v>
                </c:pt>
              </c:strCache>
            </c:strRef>
          </c:cat>
          <c:val>
            <c:numRef>
              <c:f>'EI DATA'!$D$88:$D$98</c:f>
              <c:numCache>
                <c:formatCode>"$"#,##0</c:formatCode>
                <c:ptCount val="11"/>
                <c:pt idx="0">
                  <c:v>1618.5606060606062</c:v>
                </c:pt>
                <c:pt idx="1">
                  <c:v>1394.0852819807426</c:v>
                </c:pt>
                <c:pt idx="2">
                  <c:v>758.43054082714741</c:v>
                </c:pt>
                <c:pt idx="3">
                  <c:v>1053.4603678708484</c:v>
                </c:pt>
                <c:pt idx="4">
                  <c:v>628.72173443861288</c:v>
                </c:pt>
                <c:pt idx="5">
                  <c:v>364.12810862666959</c:v>
                </c:pt>
                <c:pt idx="6">
                  <c:v>339.91938670670993</c:v>
                </c:pt>
                <c:pt idx="7">
                  <c:v>334.77985715577256</c:v>
                </c:pt>
                <c:pt idx="8">
                  <c:v>323.05312273872801</c:v>
                </c:pt>
                <c:pt idx="9">
                  <c:v>352.0926984681185</c:v>
                </c:pt>
                <c:pt idx="10">
                  <c:v>466.77191335637383</c:v>
                </c:pt>
              </c:numCache>
            </c:numRef>
          </c:val>
        </c:ser>
        <c:dLbls/>
        <c:gapWidth val="100"/>
        <c:axId val="97079680"/>
        <c:axId val="97081216"/>
      </c:barChart>
      <c:catAx>
        <c:axId val="97079680"/>
        <c:scaling>
          <c:orientation val="minMax"/>
        </c:scaling>
        <c:axPos val="b"/>
        <c:majorTickMark val="none"/>
        <c:tickLblPos val="nextTo"/>
        <c:txPr>
          <a:bodyPr/>
          <a:lstStyle/>
          <a:p>
            <a:pPr>
              <a:defRPr lang="en-US" sz="1100" b="1" i="0" baseline="0"/>
            </a:pPr>
            <a:endParaRPr lang="en-US"/>
          </a:p>
        </c:txPr>
        <c:crossAx val="97081216"/>
        <c:crosses val="autoZero"/>
        <c:auto val="1"/>
        <c:lblAlgn val="ctr"/>
        <c:lblOffset val="100"/>
      </c:catAx>
      <c:valAx>
        <c:axId val="97081216"/>
        <c:scaling>
          <c:orientation val="minMax"/>
        </c:scaling>
        <c:axPos val="l"/>
        <c:majorGridlines/>
        <c:numFmt formatCode="&quot;$&quot;#,##0" sourceLinked="1"/>
        <c:majorTickMark val="none"/>
        <c:tickLblPos val="nextTo"/>
        <c:txPr>
          <a:bodyPr/>
          <a:lstStyle/>
          <a:p>
            <a:pPr>
              <a:defRPr lang="en-US"/>
            </a:pPr>
            <a:endParaRPr lang="en-US"/>
          </a:p>
        </c:txPr>
        <c:crossAx val="97079680"/>
        <c:crosses val="autoZero"/>
        <c:crossBetween val="between"/>
      </c:valAx>
    </c:plotArea>
    <c:plotVisOnly val="1"/>
    <c:dispBlanksAs val="gap"/>
  </c:chart>
  <c:userShapes r:id="rId1"/>
</c:chartSpace>
</file>

<file path=xl/charts/chart17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CA"/>
              <a:t>INCOME</a:t>
            </a:r>
            <a:r>
              <a:rPr lang="en-CA" baseline="0"/>
              <a:t> SUPPORT FOR PERSONS WITH DISABILITIES</a:t>
            </a:r>
          </a:p>
          <a:p>
            <a:pPr>
              <a:defRPr/>
            </a:pPr>
            <a:r>
              <a:rPr lang="en-CA"/>
              <a:t>PERCENTAGE CHANGE IN ESTIMATED EXPENDITURES</a:t>
            </a:r>
          </a:p>
          <a:p>
            <a:pPr>
              <a:defRPr/>
            </a:pPr>
            <a:r>
              <a:rPr lang="en-CA"/>
              <a:t>FROM 2005 TO 2013</a:t>
            </a:r>
          </a:p>
          <a:p>
            <a:pPr>
              <a:defRPr/>
            </a:pPr>
            <a:r>
              <a:rPr lang="en-CA"/>
              <a:t>NL,</a:t>
            </a:r>
            <a:r>
              <a:rPr lang="en-CA" baseline="0"/>
              <a:t> QC, ON, BC &amp; CANADA</a:t>
            </a:r>
            <a:endParaRPr lang="en-CA"/>
          </a:p>
        </c:rich>
      </c:tx>
    </c:title>
    <c:plotArea>
      <c:layout/>
      <c:barChart>
        <c:barDir val="col"/>
        <c:grouping val="clustered"/>
        <c:ser>
          <c:idx val="0"/>
          <c:order val="0"/>
          <c:tx>
            <c:strRef>
              <c:f>'All provs input 2011-12'!$B$21</c:f>
              <c:strCache>
                <c:ptCount val="1"/>
                <c:pt idx="0">
                  <c:v>Total SA for Disabled</c:v>
                </c:pt>
              </c:strCache>
            </c:strRef>
          </c:tx>
          <c:cat>
            <c:strRef>
              <c:f>'All provs input 2011-12'!$A$22:$A$26</c:f>
              <c:strCache>
                <c:ptCount val="5"/>
                <c:pt idx="0">
                  <c:v>NL &amp; LAB</c:v>
                </c:pt>
                <c:pt idx="1">
                  <c:v>QUE</c:v>
                </c:pt>
                <c:pt idx="2">
                  <c:v>ONT</c:v>
                </c:pt>
                <c:pt idx="3">
                  <c:v>BC</c:v>
                </c:pt>
                <c:pt idx="4">
                  <c:v>CAN</c:v>
                </c:pt>
              </c:strCache>
            </c:strRef>
          </c:cat>
          <c:val>
            <c:numRef>
              <c:f>'All provs input 2011-12'!$B$22:$B$26</c:f>
              <c:numCache>
                <c:formatCode>0.0%</c:formatCode>
                <c:ptCount val="5"/>
                <c:pt idx="0">
                  <c:v>7.8628731307797864E-2</c:v>
                </c:pt>
                <c:pt idx="1">
                  <c:v>0.14726472113386821</c:v>
                </c:pt>
                <c:pt idx="2">
                  <c:v>0.70416308461149069</c:v>
                </c:pt>
                <c:pt idx="3">
                  <c:v>0.54149798538007021</c:v>
                </c:pt>
                <c:pt idx="4">
                  <c:v>0.51491219233502172</c:v>
                </c:pt>
              </c:numCache>
            </c:numRef>
          </c:val>
        </c:ser>
        <c:ser>
          <c:idx val="1"/>
          <c:order val="1"/>
          <c:tx>
            <c:strRef>
              <c:f>'All provs input 2011-12'!$C$21</c:f>
              <c:strCache>
                <c:ptCount val="1"/>
                <c:pt idx="0">
                  <c:v>Total Spending on Disabled</c:v>
                </c:pt>
              </c:strCache>
            </c:strRef>
          </c:tx>
          <c:cat>
            <c:strRef>
              <c:f>'All provs input 2011-12'!$A$22:$A$26</c:f>
              <c:strCache>
                <c:ptCount val="5"/>
                <c:pt idx="0">
                  <c:v>NL &amp; LAB</c:v>
                </c:pt>
                <c:pt idx="1">
                  <c:v>QUE</c:v>
                </c:pt>
                <c:pt idx="2">
                  <c:v>ONT</c:v>
                </c:pt>
                <c:pt idx="3">
                  <c:v>BC</c:v>
                </c:pt>
                <c:pt idx="4">
                  <c:v>CAN</c:v>
                </c:pt>
              </c:strCache>
            </c:strRef>
          </c:cat>
          <c:val>
            <c:numRef>
              <c:f>'All provs input 2011-12'!$C$22:$C$26</c:f>
              <c:numCache>
                <c:formatCode>0.0%</c:formatCode>
                <c:ptCount val="5"/>
                <c:pt idx="0">
                  <c:v>0.31159021405070536</c:v>
                </c:pt>
                <c:pt idx="1">
                  <c:v>0.24187948021470321</c:v>
                </c:pt>
                <c:pt idx="2">
                  <c:v>0.38990181856400324</c:v>
                </c:pt>
                <c:pt idx="3">
                  <c:v>0.39729991428350803</c:v>
                </c:pt>
                <c:pt idx="4">
                  <c:v>0.36456053982109504</c:v>
                </c:pt>
              </c:numCache>
            </c:numRef>
          </c:val>
        </c:ser>
        <c:ser>
          <c:idx val="2"/>
          <c:order val="2"/>
          <c:tx>
            <c:strRef>
              <c:f>'All provs input 2011-12'!$D$21</c:f>
              <c:strCache>
                <c:ptCount val="1"/>
                <c:pt idx="0">
                  <c:v>Total Spending on Disabled EXCL SA</c:v>
                </c:pt>
              </c:strCache>
            </c:strRef>
          </c:tx>
          <c:cat>
            <c:strRef>
              <c:f>'All provs input 2011-12'!$A$22:$A$26</c:f>
              <c:strCache>
                <c:ptCount val="5"/>
                <c:pt idx="0">
                  <c:v>NL &amp; LAB</c:v>
                </c:pt>
                <c:pt idx="1">
                  <c:v>QUE</c:v>
                </c:pt>
                <c:pt idx="2">
                  <c:v>ONT</c:v>
                </c:pt>
                <c:pt idx="3">
                  <c:v>BC</c:v>
                </c:pt>
                <c:pt idx="4">
                  <c:v>CAN</c:v>
                </c:pt>
              </c:strCache>
            </c:strRef>
          </c:cat>
          <c:val>
            <c:numRef>
              <c:f>'All provs input 2011-12'!$D$22:$D$26</c:f>
              <c:numCache>
                <c:formatCode>0.0%</c:formatCode>
                <c:ptCount val="5"/>
                <c:pt idx="0">
                  <c:v>0.3502925256266039</c:v>
                </c:pt>
                <c:pt idx="1">
                  <c:v>0.27185934281952467</c:v>
                </c:pt>
                <c:pt idx="2">
                  <c:v>0.27733226837980185</c:v>
                </c:pt>
                <c:pt idx="3">
                  <c:v>0.36040883022102832</c:v>
                </c:pt>
                <c:pt idx="4">
                  <c:v>0.31275944432877606</c:v>
                </c:pt>
              </c:numCache>
            </c:numRef>
          </c:val>
        </c:ser>
        <c:dLbls/>
        <c:axId val="96502144"/>
        <c:axId val="96503680"/>
      </c:barChart>
      <c:catAx>
        <c:axId val="96502144"/>
        <c:scaling>
          <c:orientation val="minMax"/>
        </c:scaling>
        <c:axPos val="b"/>
        <c:majorTickMark val="none"/>
        <c:tickLblPos val="nextTo"/>
        <c:txPr>
          <a:bodyPr/>
          <a:lstStyle/>
          <a:p>
            <a:pPr>
              <a:defRPr sz="1200" b="1"/>
            </a:pPr>
            <a:endParaRPr lang="en-US"/>
          </a:p>
        </c:txPr>
        <c:crossAx val="96503680"/>
        <c:crosses val="autoZero"/>
        <c:auto val="1"/>
        <c:lblAlgn val="ctr"/>
        <c:lblOffset val="100"/>
      </c:catAx>
      <c:valAx>
        <c:axId val="96503680"/>
        <c:scaling>
          <c:orientation val="minMax"/>
        </c:scaling>
        <c:axPos val="l"/>
        <c:majorGridlines/>
        <c:numFmt formatCode="0%" sourceLinked="0"/>
        <c:majorTickMark val="none"/>
        <c:tickLblPos val="nextTo"/>
        <c:crossAx val="96502144"/>
        <c:crosses val="autoZero"/>
        <c:crossBetween val="between"/>
      </c:valAx>
    </c:plotArea>
    <c:legend>
      <c:legendPos val="b"/>
      <c:layout>
        <c:manualLayout>
          <c:xMode val="edge"/>
          <c:yMode val="edge"/>
          <c:x val="0.10639734111310098"/>
          <c:y val="0.94652431479884513"/>
          <c:w val="0.7959935396189648"/>
          <c:h val="4.1369601592283624E-2"/>
        </c:manualLayout>
      </c:layout>
      <c:txPr>
        <a:bodyPr/>
        <a:lstStyle/>
        <a:p>
          <a:pPr>
            <a:defRPr sz="1200" b="1"/>
          </a:pPr>
          <a:endParaRPr lang="en-US"/>
        </a:p>
      </c:txPr>
    </c:legend>
    <c:plotVisOnly val="1"/>
    <c:dispBlanksAs val="gap"/>
  </c:chart>
</c:chartSpace>
</file>

<file path=xl/charts/chart17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a:t>Percent</a:t>
            </a:r>
            <a:r>
              <a:rPr lang="en-US" baseline="0"/>
              <a:t> Change in SA Spending on the Disabled </a:t>
            </a:r>
          </a:p>
          <a:p>
            <a:pPr>
              <a:defRPr lang="en-US"/>
            </a:pPr>
            <a:r>
              <a:rPr lang="en-US" baseline="0"/>
              <a:t>by Province and for Canada</a:t>
            </a:r>
          </a:p>
          <a:p>
            <a:pPr>
              <a:defRPr lang="en-US"/>
            </a:pPr>
            <a:r>
              <a:rPr lang="en-US" baseline="0"/>
              <a:t> 2005-06 to 2011-12</a:t>
            </a:r>
            <a:endParaRPr lang="en-US"/>
          </a:p>
        </c:rich>
      </c:tx>
    </c:title>
    <c:plotArea>
      <c:layout>
        <c:manualLayout>
          <c:layoutTarget val="inner"/>
          <c:xMode val="edge"/>
          <c:yMode val="edge"/>
          <c:x val="6.2524891171269609E-2"/>
          <c:y val="0.19202437714151585"/>
          <c:w val="0.92428444698640688"/>
          <c:h val="0.74526182908711669"/>
        </c:manualLayout>
      </c:layout>
      <c:barChart>
        <c:barDir val="col"/>
        <c:grouping val="clustered"/>
        <c:ser>
          <c:idx val="0"/>
          <c:order val="0"/>
          <c:spPr>
            <a:solidFill>
              <a:schemeClr val="accent6">
                <a:lumMod val="75000"/>
              </a:schemeClr>
            </a:solidFill>
          </c:spPr>
          <c:dLbls>
            <c:dLbl>
              <c:idx val="0"/>
              <c:layout>
                <c:manualLayout>
                  <c:x val="0"/>
                  <c:y val="-6.0589810797581373E-3"/>
                </c:manualLayout>
              </c:layout>
              <c:showVal val="1"/>
            </c:dLbl>
            <c:dLbl>
              <c:idx val="6"/>
              <c:layout>
                <c:manualLayout>
                  <c:x val="2.9312581871829952E-3"/>
                  <c:y val="-1.0098301799596894E-2"/>
                </c:manualLayout>
              </c:layout>
              <c:showVal val="1"/>
            </c:dLbl>
            <c:txPr>
              <a:bodyPr/>
              <a:lstStyle/>
              <a:p>
                <a:pPr>
                  <a:defRPr lang="en-US" sz="1200" b="1"/>
                </a:pPr>
                <a:endParaRPr lang="en-US"/>
              </a:p>
            </c:txPr>
            <c:showVal val="1"/>
          </c:dLbls>
          <c:cat>
            <c:strRef>
              <c:f>'All provs input 2011-12'!$A$4:$A$13</c:f>
              <c:strCache>
                <c:ptCount val="10"/>
                <c:pt idx="0">
                  <c:v>NL &amp; LAB</c:v>
                </c:pt>
                <c:pt idx="1">
                  <c:v>PEI</c:v>
                </c:pt>
                <c:pt idx="2">
                  <c:v>NS</c:v>
                </c:pt>
                <c:pt idx="3">
                  <c:v>NB</c:v>
                </c:pt>
                <c:pt idx="4">
                  <c:v>QUE</c:v>
                </c:pt>
                <c:pt idx="5">
                  <c:v>ONT</c:v>
                </c:pt>
                <c:pt idx="6">
                  <c:v>MAN</c:v>
                </c:pt>
                <c:pt idx="7">
                  <c:v>SASK</c:v>
                </c:pt>
                <c:pt idx="8">
                  <c:v>ALTA</c:v>
                </c:pt>
                <c:pt idx="9">
                  <c:v>BC</c:v>
                </c:pt>
              </c:strCache>
            </c:strRef>
          </c:cat>
          <c:val>
            <c:numRef>
              <c:f>'All provs input 2011-12'!$B$4:$B$13</c:f>
              <c:numCache>
                <c:formatCode>0.0%</c:formatCode>
                <c:ptCount val="10"/>
                <c:pt idx="0">
                  <c:v>8.0870521194322739E-2</c:v>
                </c:pt>
                <c:pt idx="1">
                  <c:v>0.25606835162478114</c:v>
                </c:pt>
                <c:pt idx="2">
                  <c:v>0.10352754657154191</c:v>
                </c:pt>
                <c:pt idx="3">
                  <c:v>0.14948854892731053</c:v>
                </c:pt>
                <c:pt idx="4">
                  <c:v>0.11605136361561207</c:v>
                </c:pt>
                <c:pt idx="5">
                  <c:v>0.55228662333384204</c:v>
                </c:pt>
                <c:pt idx="6">
                  <c:v>0.28490944805405061</c:v>
                </c:pt>
                <c:pt idx="7">
                  <c:v>0.12885604113110541</c:v>
                </c:pt>
                <c:pt idx="8">
                  <c:v>0.64020693162259423</c:v>
                </c:pt>
                <c:pt idx="9">
                  <c:v>0.39942029908744869</c:v>
                </c:pt>
              </c:numCache>
            </c:numRef>
          </c:val>
        </c:ser>
        <c:dLbls/>
        <c:gapWidth val="75"/>
        <c:axId val="96581888"/>
        <c:axId val="96591872"/>
      </c:barChart>
      <c:catAx>
        <c:axId val="96581888"/>
        <c:scaling>
          <c:orientation val="minMax"/>
        </c:scaling>
        <c:axPos val="b"/>
        <c:majorTickMark val="none"/>
        <c:tickLblPos val="nextTo"/>
        <c:txPr>
          <a:bodyPr/>
          <a:lstStyle/>
          <a:p>
            <a:pPr>
              <a:defRPr lang="en-US" sz="1200" b="1"/>
            </a:pPr>
            <a:endParaRPr lang="en-US"/>
          </a:p>
        </c:txPr>
        <c:crossAx val="96591872"/>
        <c:crosses val="autoZero"/>
        <c:auto val="1"/>
        <c:lblAlgn val="ctr"/>
        <c:lblOffset val="100"/>
      </c:catAx>
      <c:valAx>
        <c:axId val="96591872"/>
        <c:scaling>
          <c:orientation val="minMax"/>
        </c:scaling>
        <c:axPos val="l"/>
        <c:majorGridlines/>
        <c:numFmt formatCode="0%" sourceLinked="0"/>
        <c:majorTickMark val="none"/>
        <c:tickLblPos val="nextTo"/>
        <c:txPr>
          <a:bodyPr/>
          <a:lstStyle/>
          <a:p>
            <a:pPr>
              <a:defRPr lang="en-US"/>
            </a:pPr>
            <a:endParaRPr lang="en-US"/>
          </a:p>
        </c:txPr>
        <c:crossAx val="96581888"/>
        <c:crosses val="autoZero"/>
        <c:crossBetween val="between"/>
      </c:valAx>
    </c:plotArea>
    <c:plotVisOnly val="1"/>
    <c:dispBlanksAs val="gap"/>
  </c:chart>
</c:chartSpace>
</file>

<file path=xl/charts/chart17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a:t>Percent</a:t>
            </a:r>
            <a:r>
              <a:rPr lang="en-US" baseline="0"/>
              <a:t> Change in Total Spending on the Disabled</a:t>
            </a:r>
          </a:p>
          <a:p>
            <a:pPr>
              <a:defRPr lang="en-US"/>
            </a:pPr>
            <a:r>
              <a:rPr lang="en-US" baseline="0"/>
              <a:t>by Province and for Canada</a:t>
            </a:r>
          </a:p>
          <a:p>
            <a:pPr>
              <a:defRPr lang="en-US"/>
            </a:pPr>
            <a:r>
              <a:rPr lang="en-US" baseline="0"/>
              <a:t>2005-06 to 2011-12</a:t>
            </a:r>
            <a:endParaRPr lang="en-US"/>
          </a:p>
        </c:rich>
      </c:tx>
    </c:title>
    <c:plotArea>
      <c:layout>
        <c:manualLayout>
          <c:layoutTarget val="inner"/>
          <c:xMode val="edge"/>
          <c:yMode val="edge"/>
          <c:x val="4.8462237720192626E-2"/>
          <c:y val="0.16768746980448734"/>
          <c:w val="0.93541584225030161"/>
          <c:h val="0.77376941458158177"/>
        </c:manualLayout>
      </c:layout>
      <c:barChart>
        <c:barDir val="col"/>
        <c:grouping val="clustered"/>
        <c:ser>
          <c:idx val="1"/>
          <c:order val="0"/>
          <c:spPr>
            <a:solidFill>
              <a:schemeClr val="accent6">
                <a:lumMod val="75000"/>
              </a:schemeClr>
            </a:solidFill>
          </c:spPr>
          <c:dLbls>
            <c:dLbl>
              <c:idx val="9"/>
              <c:layout>
                <c:manualLayout>
                  <c:x val="0"/>
                  <c:y val="-6.0589810797581373E-3"/>
                </c:manualLayout>
              </c:layout>
              <c:showVal val="1"/>
            </c:dLbl>
            <c:txPr>
              <a:bodyPr/>
              <a:lstStyle/>
              <a:p>
                <a:pPr>
                  <a:defRPr lang="en-US" sz="1200" b="1" i="0" baseline="0"/>
                </a:pPr>
                <a:endParaRPr lang="en-US"/>
              </a:p>
            </c:txPr>
            <c:showVal val="1"/>
          </c:dLbls>
          <c:cat>
            <c:strRef>
              <c:f>'All provs input 2011-12'!$A$4:$A$13</c:f>
              <c:strCache>
                <c:ptCount val="10"/>
                <c:pt idx="0">
                  <c:v>NL &amp; LAB</c:v>
                </c:pt>
                <c:pt idx="1">
                  <c:v>PEI</c:v>
                </c:pt>
                <c:pt idx="2">
                  <c:v>NS</c:v>
                </c:pt>
                <c:pt idx="3">
                  <c:v>NB</c:v>
                </c:pt>
                <c:pt idx="4">
                  <c:v>QUE</c:v>
                </c:pt>
                <c:pt idx="5">
                  <c:v>ONT</c:v>
                </c:pt>
                <c:pt idx="6">
                  <c:v>MAN</c:v>
                </c:pt>
                <c:pt idx="7">
                  <c:v>SASK</c:v>
                </c:pt>
                <c:pt idx="8">
                  <c:v>ALTA</c:v>
                </c:pt>
                <c:pt idx="9">
                  <c:v>BC</c:v>
                </c:pt>
              </c:strCache>
            </c:strRef>
          </c:cat>
          <c:val>
            <c:numRef>
              <c:f>'All provs input 2011-12'!$C$4:$C$13</c:f>
              <c:numCache>
                <c:formatCode>0.0%</c:formatCode>
                <c:ptCount val="10"/>
                <c:pt idx="0">
                  <c:v>0.21084430720072506</c:v>
                </c:pt>
                <c:pt idx="1">
                  <c:v>0.32169332288415792</c:v>
                </c:pt>
                <c:pt idx="2">
                  <c:v>0.20511855254664585</c:v>
                </c:pt>
                <c:pt idx="3">
                  <c:v>0.29117078435376109</c:v>
                </c:pt>
                <c:pt idx="4">
                  <c:v>0.17151803303777749</c:v>
                </c:pt>
                <c:pt idx="5">
                  <c:v>0.32825655137984189</c:v>
                </c:pt>
                <c:pt idx="6">
                  <c:v>0.23162592857369158</c:v>
                </c:pt>
                <c:pt idx="7">
                  <c:v>0.15738044268726092</c:v>
                </c:pt>
                <c:pt idx="8">
                  <c:v>0.43041353916619834</c:v>
                </c:pt>
                <c:pt idx="9">
                  <c:v>0.28620751566872832</c:v>
                </c:pt>
              </c:numCache>
            </c:numRef>
          </c:val>
        </c:ser>
        <c:dLbls/>
        <c:gapWidth val="75"/>
        <c:axId val="96657408"/>
        <c:axId val="96658944"/>
      </c:barChart>
      <c:catAx>
        <c:axId val="96657408"/>
        <c:scaling>
          <c:orientation val="minMax"/>
        </c:scaling>
        <c:axPos val="b"/>
        <c:majorTickMark val="none"/>
        <c:tickLblPos val="nextTo"/>
        <c:txPr>
          <a:bodyPr/>
          <a:lstStyle/>
          <a:p>
            <a:pPr>
              <a:defRPr lang="en-US" sz="1200" b="1">
                <a:solidFill>
                  <a:sysClr val="windowText" lastClr="000000"/>
                </a:solidFill>
              </a:defRPr>
            </a:pPr>
            <a:endParaRPr lang="en-US"/>
          </a:p>
        </c:txPr>
        <c:crossAx val="96658944"/>
        <c:crosses val="autoZero"/>
        <c:auto val="1"/>
        <c:lblAlgn val="ctr"/>
        <c:lblOffset val="100"/>
      </c:catAx>
      <c:valAx>
        <c:axId val="96658944"/>
        <c:scaling>
          <c:orientation val="minMax"/>
          <c:max val="0.60000000000000064"/>
          <c:min val="0"/>
        </c:scaling>
        <c:axPos val="l"/>
        <c:majorGridlines/>
        <c:numFmt formatCode="0%" sourceLinked="0"/>
        <c:majorTickMark val="none"/>
        <c:tickLblPos val="nextTo"/>
        <c:txPr>
          <a:bodyPr/>
          <a:lstStyle/>
          <a:p>
            <a:pPr>
              <a:defRPr lang="en-US"/>
            </a:pPr>
            <a:endParaRPr lang="en-US"/>
          </a:p>
        </c:txPr>
        <c:crossAx val="96657408"/>
        <c:crosses val="autoZero"/>
        <c:crossBetween val="between"/>
      </c:valAx>
    </c:plotArea>
    <c:plotVisOnly val="1"/>
    <c:dispBlanksAs val="gap"/>
  </c:chart>
</c:chartSpace>
</file>

<file path=xl/charts/chart17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a:t>Percent Change in Total</a:t>
            </a:r>
            <a:r>
              <a:rPr lang="en-US" baseline="0"/>
              <a:t> Spending on the Disabled, SA Excluded</a:t>
            </a:r>
          </a:p>
          <a:p>
            <a:pPr>
              <a:defRPr lang="en-US"/>
            </a:pPr>
            <a:r>
              <a:rPr lang="en-US" baseline="0"/>
              <a:t>by Province and for Canada</a:t>
            </a:r>
          </a:p>
          <a:p>
            <a:pPr>
              <a:defRPr lang="en-US"/>
            </a:pPr>
            <a:r>
              <a:rPr lang="en-US" baseline="0"/>
              <a:t>2005-06 to 2011-12</a:t>
            </a:r>
            <a:endParaRPr lang="en-US"/>
          </a:p>
        </c:rich>
      </c:tx>
    </c:title>
    <c:plotArea>
      <c:layout>
        <c:manualLayout>
          <c:layoutTarget val="inner"/>
          <c:xMode val="edge"/>
          <c:yMode val="edge"/>
          <c:x val="6.3118528656106981E-2"/>
          <c:y val="0.16364814908464856"/>
          <c:w val="0.93541584225030161"/>
          <c:h val="0.77376941458158177"/>
        </c:manualLayout>
      </c:layout>
      <c:barChart>
        <c:barDir val="col"/>
        <c:grouping val="clustered"/>
        <c:ser>
          <c:idx val="2"/>
          <c:order val="0"/>
          <c:spPr>
            <a:solidFill>
              <a:srgbClr val="F79646">
                <a:lumMod val="75000"/>
              </a:srgbClr>
            </a:solidFill>
          </c:spPr>
          <c:dLbls>
            <c:dLbl>
              <c:idx val="0"/>
              <c:layout>
                <c:manualLayout>
                  <c:x val="0"/>
                  <c:y val="-1.2117962159516256E-2"/>
                </c:manualLayout>
              </c:layout>
              <c:showVal val="1"/>
            </c:dLbl>
            <c:dLbl>
              <c:idx val="8"/>
              <c:layout>
                <c:manualLayout>
                  <c:x val="0"/>
                  <c:y val="6.0589810797581373E-3"/>
                </c:manualLayout>
              </c:layout>
              <c:showVal val="1"/>
            </c:dLbl>
            <c:txPr>
              <a:bodyPr/>
              <a:lstStyle/>
              <a:p>
                <a:pPr>
                  <a:defRPr lang="en-US" sz="1200" b="1" i="0" baseline="0"/>
                </a:pPr>
                <a:endParaRPr lang="en-US"/>
              </a:p>
            </c:txPr>
            <c:showVal val="1"/>
          </c:dLbls>
          <c:cat>
            <c:strRef>
              <c:f>'All provs input 2011-12'!$A$4:$A$13</c:f>
              <c:strCache>
                <c:ptCount val="10"/>
                <c:pt idx="0">
                  <c:v>NL &amp; LAB</c:v>
                </c:pt>
                <c:pt idx="1">
                  <c:v>PEI</c:v>
                </c:pt>
                <c:pt idx="2">
                  <c:v>NS</c:v>
                </c:pt>
                <c:pt idx="3">
                  <c:v>NB</c:v>
                </c:pt>
                <c:pt idx="4">
                  <c:v>QUE</c:v>
                </c:pt>
                <c:pt idx="5">
                  <c:v>ONT</c:v>
                </c:pt>
                <c:pt idx="6">
                  <c:v>MAN</c:v>
                </c:pt>
                <c:pt idx="7">
                  <c:v>SASK</c:v>
                </c:pt>
                <c:pt idx="8">
                  <c:v>ALTA</c:v>
                </c:pt>
                <c:pt idx="9">
                  <c:v>BC</c:v>
                </c:pt>
              </c:strCache>
            </c:strRef>
          </c:cat>
          <c:val>
            <c:numRef>
              <c:f>'All provs input 2011-12'!$D$4:$D$13</c:f>
              <c:numCache>
                <c:formatCode>0.0%</c:formatCode>
                <c:ptCount val="10"/>
                <c:pt idx="0">
                  <c:v>0.23243708684606362</c:v>
                </c:pt>
                <c:pt idx="1">
                  <c:v>0.33405799941216796</c:v>
                </c:pt>
                <c:pt idx="2">
                  <c:v>0.22573264352957995</c:v>
                </c:pt>
                <c:pt idx="3">
                  <c:v>0.30822012592318232</c:v>
                </c:pt>
                <c:pt idx="4">
                  <c:v>0.18909333677028375</c:v>
                </c:pt>
                <c:pt idx="5">
                  <c:v>0.24800814932642024</c:v>
                </c:pt>
                <c:pt idx="6">
                  <c:v>0.20665884485297692</c:v>
                </c:pt>
                <c:pt idx="7">
                  <c:v>0.16915547987825127</c:v>
                </c:pt>
                <c:pt idx="8">
                  <c:v>0.35338599527478759</c:v>
                </c:pt>
                <c:pt idx="9">
                  <c:v>0.25724358932570179</c:v>
                </c:pt>
              </c:numCache>
            </c:numRef>
          </c:val>
        </c:ser>
        <c:dLbls/>
        <c:gapWidth val="75"/>
        <c:axId val="96712192"/>
        <c:axId val="96713728"/>
      </c:barChart>
      <c:catAx>
        <c:axId val="96712192"/>
        <c:scaling>
          <c:orientation val="minMax"/>
        </c:scaling>
        <c:axPos val="b"/>
        <c:majorTickMark val="none"/>
        <c:tickLblPos val="nextTo"/>
        <c:txPr>
          <a:bodyPr/>
          <a:lstStyle/>
          <a:p>
            <a:pPr>
              <a:defRPr lang="en-US" sz="1200" b="1"/>
            </a:pPr>
            <a:endParaRPr lang="en-US"/>
          </a:p>
        </c:txPr>
        <c:crossAx val="96713728"/>
        <c:crosses val="autoZero"/>
        <c:auto val="1"/>
        <c:lblAlgn val="ctr"/>
        <c:lblOffset val="100"/>
      </c:catAx>
      <c:valAx>
        <c:axId val="96713728"/>
        <c:scaling>
          <c:orientation val="minMax"/>
          <c:max val="0.60000000000000064"/>
          <c:min val="0"/>
        </c:scaling>
        <c:axPos val="l"/>
        <c:majorGridlines/>
        <c:numFmt formatCode="0%" sourceLinked="0"/>
        <c:majorTickMark val="none"/>
        <c:tickLblPos val="nextTo"/>
        <c:txPr>
          <a:bodyPr/>
          <a:lstStyle/>
          <a:p>
            <a:pPr>
              <a:defRPr lang="en-US"/>
            </a:pPr>
            <a:endParaRPr lang="en-US"/>
          </a:p>
        </c:txPr>
        <c:crossAx val="96712192"/>
        <c:crosses val="autoZero"/>
        <c:crossBetween val="between"/>
      </c:valAx>
    </c:plotArea>
    <c:plotVisOnly val="1"/>
    <c:dispBlanksAs val="gap"/>
  </c:chart>
</c:chartSpace>
</file>

<file path=xl/charts/chart17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a:t>Percent Change in SA Spending on the Disabled </a:t>
            </a:r>
            <a:endParaRPr lang="en-CA"/>
          </a:p>
          <a:p>
            <a:pPr>
              <a:defRPr/>
            </a:pPr>
            <a:r>
              <a:rPr lang="en-US"/>
              <a:t>Eastern Provinces and Quebec</a:t>
            </a:r>
            <a:endParaRPr lang="en-CA"/>
          </a:p>
          <a:p>
            <a:pPr>
              <a:defRPr/>
            </a:pPr>
            <a:r>
              <a:rPr lang="en-US"/>
              <a:t> 2005-06 to 2011-12</a:t>
            </a:r>
            <a:endParaRPr lang="en-CA"/>
          </a:p>
        </c:rich>
      </c:tx>
    </c:title>
    <c:plotArea>
      <c:layout/>
      <c:barChart>
        <c:barDir val="col"/>
        <c:grouping val="clustered"/>
        <c:ser>
          <c:idx val="0"/>
          <c:order val="0"/>
          <c:tx>
            <c:strRef>
              <c:f>'All provs input 2011-12'!$B$3</c:f>
              <c:strCache>
                <c:ptCount val="1"/>
                <c:pt idx="0">
                  <c:v>Total SA for Disabled</c:v>
                </c:pt>
              </c:strCache>
            </c:strRef>
          </c:tx>
          <c:cat>
            <c:strRef>
              <c:f>'All provs input 2011-12'!$A$4:$A$8</c:f>
              <c:strCache>
                <c:ptCount val="5"/>
                <c:pt idx="0">
                  <c:v>NL &amp; LAB</c:v>
                </c:pt>
                <c:pt idx="1">
                  <c:v>PEI</c:v>
                </c:pt>
                <c:pt idx="2">
                  <c:v>NS</c:v>
                </c:pt>
                <c:pt idx="3">
                  <c:v>NB</c:v>
                </c:pt>
                <c:pt idx="4">
                  <c:v>QUE</c:v>
                </c:pt>
              </c:strCache>
            </c:strRef>
          </c:cat>
          <c:val>
            <c:numRef>
              <c:f>'All provs input 2011-12'!$B$4:$B$8</c:f>
              <c:numCache>
                <c:formatCode>0.0%</c:formatCode>
                <c:ptCount val="5"/>
                <c:pt idx="0">
                  <c:v>8.0870521194322739E-2</c:v>
                </c:pt>
                <c:pt idx="1">
                  <c:v>0.25606835162478114</c:v>
                </c:pt>
                <c:pt idx="2">
                  <c:v>0.10352754657154191</c:v>
                </c:pt>
                <c:pt idx="3">
                  <c:v>0.14948854892731053</c:v>
                </c:pt>
                <c:pt idx="4">
                  <c:v>0.11605136361561207</c:v>
                </c:pt>
              </c:numCache>
            </c:numRef>
          </c:val>
        </c:ser>
        <c:ser>
          <c:idx val="1"/>
          <c:order val="1"/>
          <c:tx>
            <c:strRef>
              <c:f>'All provs input 2011-12'!$C$3</c:f>
              <c:strCache>
                <c:ptCount val="1"/>
                <c:pt idx="0">
                  <c:v>Total Spending on Disabled</c:v>
                </c:pt>
              </c:strCache>
            </c:strRef>
          </c:tx>
          <c:cat>
            <c:strRef>
              <c:f>'All provs input 2011-12'!$A$4:$A$8</c:f>
              <c:strCache>
                <c:ptCount val="5"/>
                <c:pt idx="0">
                  <c:v>NL &amp; LAB</c:v>
                </c:pt>
                <c:pt idx="1">
                  <c:v>PEI</c:v>
                </c:pt>
                <c:pt idx="2">
                  <c:v>NS</c:v>
                </c:pt>
                <c:pt idx="3">
                  <c:v>NB</c:v>
                </c:pt>
                <c:pt idx="4">
                  <c:v>QUE</c:v>
                </c:pt>
              </c:strCache>
            </c:strRef>
          </c:cat>
          <c:val>
            <c:numRef>
              <c:f>'All provs input 2011-12'!$C$4:$C$8</c:f>
              <c:numCache>
                <c:formatCode>0.0%</c:formatCode>
                <c:ptCount val="5"/>
                <c:pt idx="0">
                  <c:v>0.21084430720072506</c:v>
                </c:pt>
                <c:pt idx="1">
                  <c:v>0.32169332288415792</c:v>
                </c:pt>
                <c:pt idx="2">
                  <c:v>0.20511855254664585</c:v>
                </c:pt>
                <c:pt idx="3">
                  <c:v>0.29117078435376109</c:v>
                </c:pt>
                <c:pt idx="4">
                  <c:v>0.17151803303777749</c:v>
                </c:pt>
              </c:numCache>
            </c:numRef>
          </c:val>
        </c:ser>
        <c:ser>
          <c:idx val="2"/>
          <c:order val="2"/>
          <c:tx>
            <c:strRef>
              <c:f>'All provs input 2011-12'!$D$3</c:f>
              <c:strCache>
                <c:ptCount val="1"/>
                <c:pt idx="0">
                  <c:v>Total Spending on Disabled EXCL SA</c:v>
                </c:pt>
              </c:strCache>
            </c:strRef>
          </c:tx>
          <c:cat>
            <c:strRef>
              <c:f>'All provs input 2011-12'!$A$4:$A$8</c:f>
              <c:strCache>
                <c:ptCount val="5"/>
                <c:pt idx="0">
                  <c:v>NL &amp; LAB</c:v>
                </c:pt>
                <c:pt idx="1">
                  <c:v>PEI</c:v>
                </c:pt>
                <c:pt idx="2">
                  <c:v>NS</c:v>
                </c:pt>
                <c:pt idx="3">
                  <c:v>NB</c:v>
                </c:pt>
                <c:pt idx="4">
                  <c:v>QUE</c:v>
                </c:pt>
              </c:strCache>
            </c:strRef>
          </c:cat>
          <c:val>
            <c:numRef>
              <c:f>'All provs input 2011-12'!$D$4:$D$8</c:f>
              <c:numCache>
                <c:formatCode>0.0%</c:formatCode>
                <c:ptCount val="5"/>
                <c:pt idx="0">
                  <c:v>0.23243708684606362</c:v>
                </c:pt>
                <c:pt idx="1">
                  <c:v>0.33405799941216796</c:v>
                </c:pt>
                <c:pt idx="2">
                  <c:v>0.22573264352957995</c:v>
                </c:pt>
                <c:pt idx="3">
                  <c:v>0.30822012592318232</c:v>
                </c:pt>
                <c:pt idx="4">
                  <c:v>0.18909333677028375</c:v>
                </c:pt>
              </c:numCache>
            </c:numRef>
          </c:val>
        </c:ser>
        <c:dLbls/>
        <c:gapWidth val="75"/>
        <c:axId val="97187328"/>
        <c:axId val="97188864"/>
      </c:barChart>
      <c:catAx>
        <c:axId val="97187328"/>
        <c:scaling>
          <c:orientation val="minMax"/>
        </c:scaling>
        <c:axPos val="b"/>
        <c:majorTickMark val="none"/>
        <c:tickLblPos val="nextTo"/>
        <c:txPr>
          <a:bodyPr/>
          <a:lstStyle/>
          <a:p>
            <a:pPr>
              <a:defRPr sz="1400" b="1"/>
            </a:pPr>
            <a:endParaRPr lang="en-US"/>
          </a:p>
        </c:txPr>
        <c:crossAx val="97188864"/>
        <c:crosses val="autoZero"/>
        <c:auto val="1"/>
        <c:lblAlgn val="ctr"/>
        <c:lblOffset val="100"/>
      </c:catAx>
      <c:valAx>
        <c:axId val="97188864"/>
        <c:scaling>
          <c:orientation val="minMax"/>
        </c:scaling>
        <c:axPos val="l"/>
        <c:majorGridlines/>
        <c:numFmt formatCode="0%" sourceLinked="0"/>
        <c:majorTickMark val="none"/>
        <c:tickLblPos val="nextTo"/>
        <c:crossAx val="97187328"/>
        <c:crosses val="autoZero"/>
        <c:crossBetween val="between"/>
      </c:valAx>
    </c:plotArea>
    <c:legend>
      <c:legendPos val="b"/>
      <c:layout>
        <c:manualLayout>
          <c:xMode val="edge"/>
          <c:yMode val="edge"/>
          <c:x val="6.977975009157282E-2"/>
          <c:y val="0.94652431479884513"/>
          <c:w val="0.89559338719752057"/>
          <c:h val="4.1369601592283624E-2"/>
        </c:manualLayout>
      </c:layout>
      <c:txPr>
        <a:bodyPr/>
        <a:lstStyle/>
        <a:p>
          <a:pPr>
            <a:defRPr sz="1200" b="1" i="0" baseline="0"/>
          </a:pPr>
          <a:endParaRPr lang="en-US"/>
        </a:p>
      </c:txPr>
    </c:legend>
    <c:plotVisOnly val="1"/>
    <c:dispBlanksAs val="gap"/>
  </c:chart>
</c:chartSpace>
</file>

<file path=xl/charts/chart17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Percent Change in SA Spending on the Disabled </a:t>
            </a:r>
            <a:endParaRPr lang="en-CA" sz="1800" b="1" i="0" baseline="0"/>
          </a:p>
          <a:p>
            <a:pPr>
              <a:defRPr/>
            </a:pPr>
            <a:r>
              <a:rPr lang="en-US" sz="1800" b="1" i="0" baseline="0"/>
              <a:t>Ontario and Western Provinces</a:t>
            </a:r>
            <a:endParaRPr lang="en-CA" sz="1800" b="1" i="0" baseline="0"/>
          </a:p>
          <a:p>
            <a:pPr>
              <a:defRPr/>
            </a:pPr>
            <a:r>
              <a:rPr lang="en-US" sz="1800" b="1" i="0" baseline="0"/>
              <a:t> 2005-06 to 2011-12</a:t>
            </a:r>
            <a:endParaRPr lang="en-CA"/>
          </a:p>
        </c:rich>
      </c:tx>
    </c:title>
    <c:plotArea>
      <c:layout/>
      <c:barChart>
        <c:barDir val="col"/>
        <c:grouping val="clustered"/>
        <c:ser>
          <c:idx val="5"/>
          <c:order val="0"/>
          <c:tx>
            <c:strRef>
              <c:f>'All provs input 2011-12'!$B$3</c:f>
              <c:strCache>
                <c:ptCount val="1"/>
                <c:pt idx="0">
                  <c:v>Total SA for Disabled</c:v>
                </c:pt>
              </c:strCache>
            </c:strRef>
          </c:tx>
          <c:spPr>
            <a:solidFill>
              <a:schemeClr val="accent1"/>
            </a:solidFill>
          </c:spPr>
          <c:cat>
            <c:strRef>
              <c:f>'All provs input 2011-12'!$A$9:$A$13</c:f>
              <c:strCache>
                <c:ptCount val="5"/>
                <c:pt idx="0">
                  <c:v>ONT</c:v>
                </c:pt>
                <c:pt idx="1">
                  <c:v>MAN</c:v>
                </c:pt>
                <c:pt idx="2">
                  <c:v>SASK</c:v>
                </c:pt>
                <c:pt idx="3">
                  <c:v>ALTA</c:v>
                </c:pt>
                <c:pt idx="4">
                  <c:v>BC</c:v>
                </c:pt>
              </c:strCache>
            </c:strRef>
          </c:cat>
          <c:val>
            <c:numRef>
              <c:f>'All provs input 2011-12'!$B$9:$B$13</c:f>
              <c:numCache>
                <c:formatCode>0.0%</c:formatCode>
                <c:ptCount val="5"/>
                <c:pt idx="0">
                  <c:v>0.55228662333384204</c:v>
                </c:pt>
                <c:pt idx="1">
                  <c:v>0.28490944805405061</c:v>
                </c:pt>
                <c:pt idx="2">
                  <c:v>0.12885604113110541</c:v>
                </c:pt>
                <c:pt idx="3">
                  <c:v>0.64020693162259423</c:v>
                </c:pt>
                <c:pt idx="4">
                  <c:v>0.39942029908744869</c:v>
                </c:pt>
              </c:numCache>
            </c:numRef>
          </c:val>
        </c:ser>
        <c:ser>
          <c:idx val="6"/>
          <c:order val="1"/>
          <c:tx>
            <c:strRef>
              <c:f>'All provs input 2011-12'!$C$3</c:f>
              <c:strCache>
                <c:ptCount val="1"/>
                <c:pt idx="0">
                  <c:v>Total Spending on Disabled</c:v>
                </c:pt>
              </c:strCache>
            </c:strRef>
          </c:tx>
          <c:spPr>
            <a:solidFill>
              <a:schemeClr val="accent2"/>
            </a:solidFill>
          </c:spPr>
          <c:cat>
            <c:strRef>
              <c:f>'All provs input 2011-12'!$A$9:$A$13</c:f>
              <c:strCache>
                <c:ptCount val="5"/>
                <c:pt idx="0">
                  <c:v>ONT</c:v>
                </c:pt>
                <c:pt idx="1">
                  <c:v>MAN</c:v>
                </c:pt>
                <c:pt idx="2">
                  <c:v>SASK</c:v>
                </c:pt>
                <c:pt idx="3">
                  <c:v>ALTA</c:v>
                </c:pt>
                <c:pt idx="4">
                  <c:v>BC</c:v>
                </c:pt>
              </c:strCache>
            </c:strRef>
          </c:cat>
          <c:val>
            <c:numRef>
              <c:f>'All provs input 2011-12'!$C$9:$C$13</c:f>
              <c:numCache>
                <c:formatCode>0.0%</c:formatCode>
                <c:ptCount val="5"/>
                <c:pt idx="0">
                  <c:v>0.32825655137984189</c:v>
                </c:pt>
                <c:pt idx="1">
                  <c:v>0.23162592857369158</c:v>
                </c:pt>
                <c:pt idx="2">
                  <c:v>0.15738044268726092</c:v>
                </c:pt>
                <c:pt idx="3">
                  <c:v>0.43041353916619834</c:v>
                </c:pt>
                <c:pt idx="4">
                  <c:v>0.28620751566872832</c:v>
                </c:pt>
              </c:numCache>
            </c:numRef>
          </c:val>
        </c:ser>
        <c:ser>
          <c:idx val="7"/>
          <c:order val="2"/>
          <c:tx>
            <c:strRef>
              <c:f>'All provs input 2011-12'!$D$3</c:f>
              <c:strCache>
                <c:ptCount val="1"/>
                <c:pt idx="0">
                  <c:v>Total Spending on Disabled EXCL SA</c:v>
                </c:pt>
              </c:strCache>
            </c:strRef>
          </c:tx>
          <c:spPr>
            <a:solidFill>
              <a:schemeClr val="accent3"/>
            </a:solidFill>
          </c:spPr>
          <c:cat>
            <c:strRef>
              <c:f>'All provs input 2011-12'!$A$9:$A$13</c:f>
              <c:strCache>
                <c:ptCount val="5"/>
                <c:pt idx="0">
                  <c:v>ONT</c:v>
                </c:pt>
                <c:pt idx="1">
                  <c:v>MAN</c:v>
                </c:pt>
                <c:pt idx="2">
                  <c:v>SASK</c:v>
                </c:pt>
                <c:pt idx="3">
                  <c:v>ALTA</c:v>
                </c:pt>
                <c:pt idx="4">
                  <c:v>BC</c:v>
                </c:pt>
              </c:strCache>
            </c:strRef>
          </c:cat>
          <c:val>
            <c:numRef>
              <c:f>'All provs input 2011-12'!$D$9:$D$13</c:f>
              <c:numCache>
                <c:formatCode>0.0%</c:formatCode>
                <c:ptCount val="5"/>
                <c:pt idx="0">
                  <c:v>0.24800814932642024</c:v>
                </c:pt>
                <c:pt idx="1">
                  <c:v>0.20665884485297692</c:v>
                </c:pt>
                <c:pt idx="2">
                  <c:v>0.16915547987825127</c:v>
                </c:pt>
                <c:pt idx="3">
                  <c:v>0.35338599527478759</c:v>
                </c:pt>
                <c:pt idx="4">
                  <c:v>0.25724358932570179</c:v>
                </c:pt>
              </c:numCache>
            </c:numRef>
          </c:val>
        </c:ser>
        <c:dLbls/>
        <c:gapWidth val="75"/>
        <c:axId val="97249152"/>
        <c:axId val="97250688"/>
      </c:barChart>
      <c:catAx>
        <c:axId val="97249152"/>
        <c:scaling>
          <c:orientation val="minMax"/>
        </c:scaling>
        <c:axPos val="b"/>
        <c:majorTickMark val="none"/>
        <c:tickLblPos val="nextTo"/>
        <c:txPr>
          <a:bodyPr/>
          <a:lstStyle/>
          <a:p>
            <a:pPr>
              <a:defRPr sz="1400" b="1"/>
            </a:pPr>
            <a:endParaRPr lang="en-US"/>
          </a:p>
        </c:txPr>
        <c:crossAx val="97250688"/>
        <c:crosses val="autoZero"/>
        <c:auto val="1"/>
        <c:lblAlgn val="ctr"/>
        <c:lblOffset val="100"/>
      </c:catAx>
      <c:valAx>
        <c:axId val="97250688"/>
        <c:scaling>
          <c:orientation val="minMax"/>
        </c:scaling>
        <c:axPos val="l"/>
        <c:majorGridlines/>
        <c:numFmt formatCode="0%" sourceLinked="0"/>
        <c:majorTickMark val="none"/>
        <c:tickLblPos val="nextTo"/>
        <c:crossAx val="97249152"/>
        <c:crosses val="autoZero"/>
        <c:crossBetween val="between"/>
      </c:valAx>
    </c:plotArea>
    <c:legend>
      <c:legendPos val="b"/>
      <c:layout>
        <c:manualLayout>
          <c:xMode val="edge"/>
          <c:yMode val="edge"/>
          <c:x val="0.10253006217724621"/>
          <c:y val="0.93803448676878165"/>
          <c:w val="0.86231624312511923"/>
          <c:h val="4.3806387817912511E-2"/>
        </c:manualLayout>
      </c:layout>
      <c:txPr>
        <a:bodyPr/>
        <a:lstStyle/>
        <a:p>
          <a:pPr>
            <a:defRPr sz="1300" b="1" i="0" baseline="0"/>
          </a:pPr>
          <a:endParaRPr lang="en-US"/>
        </a:p>
      </c:txPr>
    </c:legend>
    <c:plotVisOnly val="1"/>
    <c:dispBlanksAs val="gap"/>
  </c:chart>
</c:chartSpace>
</file>

<file path=xl/charts/chart17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a:t>Percentage Change</a:t>
            </a:r>
            <a:r>
              <a:rPr lang="en-US" baseline="0"/>
              <a:t> in SA for the Disabled, 2005-06 to 2009-10</a:t>
            </a:r>
          </a:p>
          <a:p>
            <a:pPr>
              <a:defRPr lang="en-US"/>
            </a:pPr>
            <a:r>
              <a:rPr lang="en-US" baseline="0"/>
              <a:t>New Brunswick, Ontario, Manitoba, Alberta and British Columbia</a:t>
            </a:r>
            <a:endParaRPr lang="en-US"/>
          </a:p>
        </c:rich>
      </c:tx>
    </c:title>
    <c:plotArea>
      <c:layout>
        <c:manualLayout>
          <c:layoutTarget val="inner"/>
          <c:xMode val="edge"/>
          <c:yMode val="edge"/>
          <c:x val="5.1321588289159656E-2"/>
          <c:y val="0.12508043035437624"/>
          <c:w val="0.93550620568785758"/>
          <c:h val="0.78337228802493808"/>
        </c:manualLayout>
      </c:layout>
      <c:barChart>
        <c:barDir val="col"/>
        <c:grouping val="clustered"/>
        <c:ser>
          <c:idx val="2"/>
          <c:order val="0"/>
          <c:spPr>
            <a:solidFill>
              <a:srgbClr val="4F81BD"/>
            </a:solidFill>
          </c:spPr>
          <c:dLbls>
            <c:txPr>
              <a:bodyPr/>
              <a:lstStyle/>
              <a:p>
                <a:pPr>
                  <a:defRPr lang="en-US" sz="1400" b="1" i="0" baseline="0"/>
                </a:pPr>
                <a:endParaRPr lang="en-US"/>
              </a:p>
            </c:txPr>
            <c:showVal val="1"/>
          </c:dLbls>
          <c:cat>
            <c:strRef>
              <c:f>('input to 6 prov chart'!$A$6,'input to 6 prov chart'!$A$8:$A$12)</c:f>
              <c:strCache>
                <c:ptCount val="6"/>
                <c:pt idx="0">
                  <c:v>New Brunswick EBP</c:v>
                </c:pt>
                <c:pt idx="1">
                  <c:v>Ontario ODSP</c:v>
                </c:pt>
                <c:pt idx="2">
                  <c:v>Manitoba EIA for Disabled</c:v>
                </c:pt>
                <c:pt idx="3">
                  <c:v>Alberta Income Support - NETW/BFE</c:v>
                </c:pt>
                <c:pt idx="4">
                  <c:v>Alberta AISH</c:v>
                </c:pt>
                <c:pt idx="5">
                  <c:v>BC Asst. for Disabled</c:v>
                </c:pt>
              </c:strCache>
            </c:strRef>
          </c:cat>
          <c:val>
            <c:numRef>
              <c:f>('input to 6 prov chart'!$D$6,'input to 6 prov chart'!$D$8:$D$12)</c:f>
              <c:numCache>
                <c:formatCode>0.0%</c:formatCode>
                <c:ptCount val="6"/>
                <c:pt idx="0">
                  <c:v>0.11640211640211656</c:v>
                </c:pt>
                <c:pt idx="1">
                  <c:v>0.35436793422404933</c:v>
                </c:pt>
                <c:pt idx="2">
                  <c:v>0.13470173187940987</c:v>
                </c:pt>
                <c:pt idx="3">
                  <c:v>0.36696428571428569</c:v>
                </c:pt>
                <c:pt idx="4">
                  <c:v>0.52219935313143195</c:v>
                </c:pt>
                <c:pt idx="5">
                  <c:v>0.27113348377017865</c:v>
                </c:pt>
              </c:numCache>
            </c:numRef>
          </c:val>
        </c:ser>
        <c:dLbls/>
        <c:gapWidth val="50"/>
        <c:axId val="98451456"/>
        <c:axId val="98452992"/>
      </c:barChart>
      <c:catAx>
        <c:axId val="98451456"/>
        <c:scaling>
          <c:orientation val="minMax"/>
        </c:scaling>
        <c:axPos val="b"/>
        <c:majorTickMark val="none"/>
        <c:tickLblPos val="nextTo"/>
        <c:txPr>
          <a:bodyPr/>
          <a:lstStyle/>
          <a:p>
            <a:pPr>
              <a:defRPr lang="en-US" sz="1200" b="1"/>
            </a:pPr>
            <a:endParaRPr lang="en-US"/>
          </a:p>
        </c:txPr>
        <c:crossAx val="98452992"/>
        <c:crosses val="autoZero"/>
        <c:auto val="1"/>
        <c:lblAlgn val="ctr"/>
        <c:lblOffset val="100"/>
      </c:catAx>
      <c:valAx>
        <c:axId val="98452992"/>
        <c:scaling>
          <c:orientation val="minMax"/>
        </c:scaling>
        <c:axPos val="l"/>
        <c:majorGridlines/>
        <c:numFmt formatCode="0%" sourceLinked="0"/>
        <c:majorTickMark val="none"/>
        <c:tickLblPos val="nextTo"/>
        <c:txPr>
          <a:bodyPr/>
          <a:lstStyle/>
          <a:p>
            <a:pPr>
              <a:defRPr lang="en-US"/>
            </a:pPr>
            <a:endParaRPr lang="en-US"/>
          </a:p>
        </c:txPr>
        <c:crossAx val="98451456"/>
        <c:crosses val="autoZero"/>
        <c:crossBetween val="between"/>
      </c:valAx>
    </c:plotArea>
    <c:plotVisOnly val="1"/>
    <c:dispBlanksAs val="gap"/>
  </c:chart>
</c:chartSpace>
</file>

<file path=xl/charts/chart17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baseline="0"/>
            </a:pPr>
            <a:r>
              <a:rPr lang="en-US" sz="1400" baseline="0"/>
              <a:t>Income Asst. for Persons with Disabilities</a:t>
            </a:r>
          </a:p>
          <a:p>
            <a:pPr>
              <a:defRPr sz="1400" baseline="0"/>
            </a:pPr>
            <a:r>
              <a:rPr lang="en-US" sz="1400" baseline="0"/>
              <a:t>Per Capita,  2005 and 2013</a:t>
            </a:r>
          </a:p>
        </c:rich>
      </c:tx>
    </c:title>
    <c:plotArea>
      <c:layout/>
      <c:barChart>
        <c:barDir val="col"/>
        <c:grouping val="clustered"/>
        <c:ser>
          <c:idx val="1"/>
          <c:order val="0"/>
          <c:tx>
            <c:strRef>
              <c:f>'PER CAPITA #s &amp; CHARTS'!$B$37</c:f>
              <c:strCache>
                <c:ptCount val="1"/>
                <c:pt idx="0">
                  <c:v>2005</c:v>
                </c:pt>
              </c:strCache>
            </c:strRef>
          </c:tx>
          <c:spPr>
            <a:solidFill>
              <a:srgbClr val="4F81BD"/>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CHARTS'!$B$39:$B$48</c:f>
              <c:numCache>
                <c:formatCode>0.00</c:formatCode>
                <c:ptCount val="10"/>
                <c:pt idx="0">
                  <c:v>102.22412334853155</c:v>
                </c:pt>
                <c:pt idx="1">
                  <c:v>111.43491424267008</c:v>
                </c:pt>
                <c:pt idx="2">
                  <c:v>147.95303118992555</c:v>
                </c:pt>
                <c:pt idx="3">
                  <c:v>73.839239403029765</c:v>
                </c:pt>
                <c:pt idx="4">
                  <c:v>159.5489205391448</c:v>
                </c:pt>
                <c:pt idx="5">
                  <c:v>198.69588018508955</c:v>
                </c:pt>
                <c:pt idx="6">
                  <c:v>196.58472913427525</c:v>
                </c:pt>
                <c:pt idx="7">
                  <c:v>172.27583055450154</c:v>
                </c:pt>
                <c:pt idx="8">
                  <c:v>153.9240579497224</c:v>
                </c:pt>
                <c:pt idx="9">
                  <c:v>149.65331701211034</c:v>
                </c:pt>
              </c:numCache>
            </c:numRef>
          </c:val>
        </c:ser>
        <c:ser>
          <c:idx val="2"/>
          <c:order val="1"/>
          <c:tx>
            <c:strRef>
              <c:f>'PER CAPITA #s &amp; CHARTS'!$C$37</c:f>
              <c:strCache>
                <c:ptCount val="1"/>
                <c:pt idx="0">
                  <c:v>2013</c:v>
                </c:pt>
              </c:strCache>
            </c:strRef>
          </c:tx>
          <c:spPr>
            <a:solidFill>
              <a:schemeClr val="accent6"/>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CHARTS'!$C$39:$C$48</c:f>
              <c:numCache>
                <c:formatCode>0.00</c:formatCode>
                <c:ptCount val="10"/>
                <c:pt idx="0">
                  <c:v>107.4005893749633</c:v>
                </c:pt>
                <c:pt idx="1">
                  <c:v>137.81865498724568</c:v>
                </c:pt>
                <c:pt idx="2">
                  <c:v>180.28895291683585</c:v>
                </c:pt>
                <c:pt idx="3">
                  <c:v>89.29166699747789</c:v>
                </c:pt>
                <c:pt idx="4">
                  <c:v>170.17030125182262</c:v>
                </c:pt>
                <c:pt idx="5">
                  <c:v>313.04728417171151</c:v>
                </c:pt>
                <c:pt idx="6">
                  <c:v>245.85210954824862</c:v>
                </c:pt>
                <c:pt idx="7">
                  <c:v>283.3366482178277</c:v>
                </c:pt>
                <c:pt idx="8">
                  <c:v>287.92728484924703</c:v>
                </c:pt>
                <c:pt idx="9">
                  <c:v>211.21645386567079</c:v>
                </c:pt>
              </c:numCache>
            </c:numRef>
          </c:val>
        </c:ser>
        <c:dLbls/>
        <c:axId val="98604544"/>
        <c:axId val="98606080"/>
      </c:barChart>
      <c:catAx>
        <c:axId val="98604544"/>
        <c:scaling>
          <c:orientation val="minMax"/>
        </c:scaling>
        <c:axPos val="b"/>
        <c:numFmt formatCode="General" sourceLinked="1"/>
        <c:majorTickMark val="none"/>
        <c:tickLblPos val="nextTo"/>
        <c:crossAx val="98606080"/>
        <c:crosses val="autoZero"/>
        <c:auto val="1"/>
        <c:lblAlgn val="ctr"/>
        <c:lblOffset val="100"/>
      </c:catAx>
      <c:valAx>
        <c:axId val="98606080"/>
        <c:scaling>
          <c:orientation val="minMax"/>
        </c:scaling>
        <c:axPos val="l"/>
        <c:majorGridlines/>
        <c:numFmt formatCode="&quot;$&quot;#,##0" sourceLinked="0"/>
        <c:majorTickMark val="none"/>
        <c:tickLblPos val="nextTo"/>
        <c:crossAx val="98604544"/>
        <c:crosses val="autoZero"/>
        <c:crossBetween val="between"/>
      </c:valAx>
    </c:plotArea>
    <c:legend>
      <c:legendPos val="r"/>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baseline="0"/>
            </a:pPr>
            <a:r>
              <a:rPr lang="en-CA" sz="1400" baseline="0"/>
              <a:t>EI Sickness</a:t>
            </a:r>
          </a:p>
          <a:p>
            <a:pPr>
              <a:defRPr sz="1400" baseline="0"/>
            </a:pPr>
            <a:r>
              <a:rPr lang="en-CA" sz="1400" baseline="0"/>
              <a:t>Per Capita, 2005 and 2013</a:t>
            </a:r>
          </a:p>
        </c:rich>
      </c:tx>
    </c:title>
    <c:plotArea>
      <c:layout/>
      <c:barChart>
        <c:barDir val="col"/>
        <c:grouping val="clustered"/>
        <c:ser>
          <c:idx val="4"/>
          <c:order val="0"/>
          <c:tx>
            <c:strRef>
              <c:f>'PER CAPITA #s &amp; CHARTS'!$E$37</c:f>
              <c:strCache>
                <c:ptCount val="1"/>
                <c:pt idx="0">
                  <c:v>2005</c:v>
                </c:pt>
              </c:strCache>
            </c:strRef>
          </c:tx>
          <c:spPr>
            <a:solidFill>
              <a:schemeClr val="accent1"/>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CHARTS'!$E$39:$E$48</c:f>
              <c:numCache>
                <c:formatCode>0.00</c:formatCode>
                <c:ptCount val="10"/>
                <c:pt idx="0">
                  <c:v>38.886674508812696</c:v>
                </c:pt>
                <c:pt idx="1">
                  <c:v>57.944141847259239</c:v>
                </c:pt>
                <c:pt idx="2">
                  <c:v>39.556498087747187</c:v>
                </c:pt>
                <c:pt idx="3">
                  <c:v>55.879065937297803</c:v>
                </c:pt>
                <c:pt idx="4">
                  <c:v>32.303627186859266</c:v>
                </c:pt>
                <c:pt idx="5">
                  <c:v>20.697653813580629</c:v>
                </c:pt>
                <c:pt idx="6">
                  <c:v>23.678260810526389</c:v>
                </c:pt>
                <c:pt idx="7">
                  <c:v>16.708219135339597</c:v>
                </c:pt>
                <c:pt idx="8">
                  <c:v>21.013728768758064</c:v>
                </c:pt>
                <c:pt idx="9">
                  <c:v>31.317300019734191</c:v>
                </c:pt>
              </c:numCache>
            </c:numRef>
          </c:val>
        </c:ser>
        <c:ser>
          <c:idx val="0"/>
          <c:order val="1"/>
          <c:tx>
            <c:strRef>
              <c:f>'PER CAPITA #s &amp; CHARTS'!$F$37</c:f>
              <c:strCache>
                <c:ptCount val="1"/>
                <c:pt idx="0">
                  <c:v>2013</c:v>
                </c:pt>
              </c:strCache>
            </c:strRef>
          </c:tx>
          <c:spPr>
            <a:solidFill>
              <a:schemeClr val="accent6"/>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CHARTS'!$F$39:$F$48</c:f>
              <c:numCache>
                <c:formatCode>0.00</c:formatCode>
                <c:ptCount val="10"/>
                <c:pt idx="0">
                  <c:v>71.588604154790474</c:v>
                </c:pt>
                <c:pt idx="1">
                  <c:v>107.94755261583735</c:v>
                </c:pt>
                <c:pt idx="2">
                  <c:v>63.521284932730005</c:v>
                </c:pt>
                <c:pt idx="3">
                  <c:v>92.759468478982896</c:v>
                </c:pt>
                <c:pt idx="4">
                  <c:v>44.440296901405205</c:v>
                </c:pt>
                <c:pt idx="5">
                  <c:v>27.223075131554829</c:v>
                </c:pt>
                <c:pt idx="6">
                  <c:v>30.03140652882778</c:v>
                </c:pt>
                <c:pt idx="7">
                  <c:v>25.584881233715631</c:v>
                </c:pt>
                <c:pt idx="8">
                  <c:v>26.823043764228689</c:v>
                </c:pt>
                <c:pt idx="9">
                  <c:v>40.282747353198737</c:v>
                </c:pt>
              </c:numCache>
            </c:numRef>
          </c:val>
        </c:ser>
        <c:dLbls/>
        <c:axId val="98644352"/>
        <c:axId val="98645888"/>
      </c:barChart>
      <c:catAx>
        <c:axId val="98644352"/>
        <c:scaling>
          <c:orientation val="minMax"/>
        </c:scaling>
        <c:axPos val="b"/>
        <c:numFmt formatCode="General" sourceLinked="1"/>
        <c:majorTickMark val="none"/>
        <c:tickLblPos val="nextTo"/>
        <c:crossAx val="98645888"/>
        <c:crosses val="autoZero"/>
        <c:auto val="1"/>
        <c:lblAlgn val="ctr"/>
        <c:lblOffset val="100"/>
      </c:catAx>
      <c:valAx>
        <c:axId val="98645888"/>
        <c:scaling>
          <c:orientation val="minMax"/>
        </c:scaling>
        <c:axPos val="l"/>
        <c:majorGridlines/>
        <c:numFmt formatCode="&quot;$&quot;#,##0" sourceLinked="0"/>
        <c:majorTickMark val="none"/>
        <c:tickLblPos val="nextTo"/>
        <c:crossAx val="98644352"/>
        <c:crosses val="autoZero"/>
        <c:crossBetween val="between"/>
      </c:valAx>
    </c:plotArea>
    <c:legend>
      <c:legendPos val="r"/>
    </c:legend>
    <c:plotVisOnly val="1"/>
    <c:dispBlanksAs val="gap"/>
  </c:chart>
  <c:printSettings>
    <c:headerFooter/>
    <c:pageMargins b="0.75000000000000422" l="0.70000000000000062" r="0.70000000000000062" t="0.75000000000000422" header="0.30000000000000032" footer="0.30000000000000032"/>
    <c:pageSetup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 </a:t>
            </a:r>
            <a:endParaRPr lang="en-US"/>
          </a:p>
          <a:p>
            <a:pPr>
              <a:defRPr lang="en-US"/>
            </a:pPr>
            <a:r>
              <a:rPr lang="en-US" sz="1800" b="1" i="0" baseline="0"/>
              <a:t>ONTARIO 2011-12</a:t>
            </a:r>
            <a:br>
              <a:rPr lang="en-US" sz="1800" b="1" i="0" baseline="0"/>
            </a:br>
            <a:r>
              <a:rPr lang="en-US" sz="1800" b="1" i="0" baseline="0"/>
              <a:t>$12.5 B</a:t>
            </a:r>
            <a:endParaRPr lang="en-US"/>
          </a:p>
        </c:rich>
      </c:tx>
    </c:title>
    <c:plotArea>
      <c:layout/>
      <c:pieChart>
        <c:varyColors val="1"/>
        <c:dLbls>
          <c:showCatName val="1"/>
          <c:showPercent val="1"/>
        </c:dLbls>
        <c:firstSliceAng val="0"/>
      </c:pieChart>
    </c:plotArea>
    <c:plotVisOnly val="1"/>
    <c:dispBlanksAs val="zero"/>
  </c:chart>
</c:chartSpace>
</file>

<file path=xl/charts/chart18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baseline="0"/>
            </a:pPr>
            <a:r>
              <a:rPr lang="en-CA" sz="1400" baseline="0"/>
              <a:t>Total Asst. for Persons with Disabilities</a:t>
            </a:r>
          </a:p>
          <a:p>
            <a:pPr>
              <a:defRPr sz="1400" baseline="0"/>
            </a:pPr>
            <a:r>
              <a:rPr lang="en-CA" sz="1400" baseline="0"/>
              <a:t> </a:t>
            </a:r>
            <a:r>
              <a:rPr lang="en-CA" sz="1400" i="1" baseline="0"/>
              <a:t>excluding</a:t>
            </a:r>
            <a:r>
              <a:rPr lang="en-CA" sz="1400" baseline="0"/>
              <a:t> Income Assistance, </a:t>
            </a:r>
          </a:p>
          <a:p>
            <a:pPr>
              <a:defRPr sz="1400" baseline="0"/>
            </a:pPr>
            <a:r>
              <a:rPr lang="en-CA" sz="1400" baseline="0"/>
              <a:t>Per Capita, 2005 and 2013</a:t>
            </a:r>
          </a:p>
        </c:rich>
      </c:tx>
    </c:title>
    <c:plotArea>
      <c:layout/>
      <c:barChart>
        <c:barDir val="col"/>
        <c:grouping val="clustered"/>
        <c:ser>
          <c:idx val="7"/>
          <c:order val="0"/>
          <c:tx>
            <c:strRef>
              <c:f>'PER CAPITA #s &amp; CHARTS'!$H$37</c:f>
              <c:strCache>
                <c:ptCount val="1"/>
                <c:pt idx="0">
                  <c:v>2005</c:v>
                </c:pt>
              </c:strCache>
            </c:strRef>
          </c:tx>
          <c:spPr>
            <a:solidFill>
              <a:srgbClr val="0070C0"/>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CHARTS'!$H$39:$H$48</c:f>
              <c:numCache>
                <c:formatCode>0.00</c:formatCode>
                <c:ptCount val="10"/>
                <c:pt idx="0">
                  <c:v>615.31940542274663</c:v>
                </c:pt>
                <c:pt idx="1">
                  <c:v>591.43585583497497</c:v>
                </c:pt>
                <c:pt idx="2">
                  <c:v>729.1467418133509</c:v>
                </c:pt>
                <c:pt idx="3">
                  <c:v>613.61363770045614</c:v>
                </c:pt>
                <c:pt idx="4">
                  <c:v>503.52741363099625</c:v>
                </c:pt>
                <c:pt idx="5">
                  <c:v>554.70079398211521</c:v>
                </c:pt>
                <c:pt idx="6">
                  <c:v>419.54143950246799</c:v>
                </c:pt>
                <c:pt idx="7">
                  <c:v>417.32904019333228</c:v>
                </c:pt>
                <c:pt idx="8">
                  <c:v>419.22991006244507</c:v>
                </c:pt>
                <c:pt idx="9">
                  <c:v>584.95759056038423</c:v>
                </c:pt>
              </c:numCache>
            </c:numRef>
          </c:val>
        </c:ser>
        <c:ser>
          <c:idx val="0"/>
          <c:order val="1"/>
          <c:tx>
            <c:strRef>
              <c:f>'PER CAPITA #s &amp; CHARTS'!$I$37</c:f>
              <c:strCache>
                <c:ptCount val="1"/>
                <c:pt idx="0">
                  <c:v>2013</c:v>
                </c:pt>
              </c:strCache>
            </c:strRef>
          </c:tx>
          <c:spPr>
            <a:solidFill>
              <a:srgbClr val="F79646"/>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CHARTS'!$I$39:$I$48</c:f>
              <c:numCache>
                <c:formatCode>0.00</c:formatCode>
                <c:ptCount val="10"/>
                <c:pt idx="0">
                  <c:v>809.30041078222871</c:v>
                </c:pt>
                <c:pt idx="1">
                  <c:v>828.63786690135532</c:v>
                </c:pt>
                <c:pt idx="2">
                  <c:v>993.62971120615123</c:v>
                </c:pt>
                <c:pt idx="3">
                  <c:v>849.75579515110132</c:v>
                </c:pt>
                <c:pt idx="4">
                  <c:v>595.37207773471209</c:v>
                </c:pt>
                <c:pt idx="5">
                  <c:v>655.04720166859966</c:v>
                </c:pt>
                <c:pt idx="6">
                  <c:v>512.88782005181201</c:v>
                </c:pt>
                <c:pt idx="7">
                  <c:v>465.83502995148825</c:v>
                </c:pt>
                <c:pt idx="8">
                  <c:v>515.19338291728923</c:v>
                </c:pt>
                <c:pt idx="9">
                  <c:v>728.60519132450145</c:v>
                </c:pt>
              </c:numCache>
            </c:numRef>
          </c:val>
        </c:ser>
        <c:dLbls/>
        <c:axId val="98671616"/>
        <c:axId val="98681600"/>
      </c:barChart>
      <c:catAx>
        <c:axId val="98671616"/>
        <c:scaling>
          <c:orientation val="minMax"/>
        </c:scaling>
        <c:axPos val="b"/>
        <c:numFmt formatCode="General" sourceLinked="1"/>
        <c:majorTickMark val="none"/>
        <c:tickLblPos val="nextTo"/>
        <c:crossAx val="98681600"/>
        <c:crosses val="autoZero"/>
        <c:auto val="1"/>
        <c:lblAlgn val="ctr"/>
        <c:lblOffset val="100"/>
      </c:catAx>
      <c:valAx>
        <c:axId val="98681600"/>
        <c:scaling>
          <c:orientation val="minMax"/>
        </c:scaling>
        <c:axPos val="l"/>
        <c:majorGridlines/>
        <c:numFmt formatCode="&quot;$&quot;#,##0" sourceLinked="0"/>
        <c:majorTickMark val="none"/>
        <c:tickLblPos val="nextTo"/>
        <c:crossAx val="98671616"/>
        <c:crosses val="autoZero"/>
        <c:crossBetween val="between"/>
      </c:valAx>
    </c:plotArea>
    <c:legend>
      <c:legendPos val="r"/>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CA" sz="1400" baseline="0"/>
              <a:t>Total Assistance for Persons with Disabilities</a:t>
            </a:r>
          </a:p>
          <a:p>
            <a:pPr>
              <a:defRPr/>
            </a:pPr>
            <a:r>
              <a:rPr lang="en-CA" sz="1400" baseline="0"/>
              <a:t>Per Capita, 2005 and 2013</a:t>
            </a:r>
          </a:p>
        </c:rich>
      </c:tx>
    </c:title>
    <c:plotArea>
      <c:layout/>
      <c:barChart>
        <c:barDir val="col"/>
        <c:grouping val="clustered"/>
        <c:ser>
          <c:idx val="10"/>
          <c:order val="0"/>
          <c:tx>
            <c:strRef>
              <c:f>'PER CAPITA #s &amp; CHARTS'!$K$37</c:f>
              <c:strCache>
                <c:ptCount val="1"/>
                <c:pt idx="0">
                  <c:v>2005</c:v>
                </c:pt>
              </c:strCache>
            </c:strRef>
          </c:tx>
          <c:spPr>
            <a:solidFill>
              <a:srgbClr val="0070C0"/>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CHARTS'!$K$39:$K$48</c:f>
              <c:numCache>
                <c:formatCode>0.00</c:formatCode>
                <c:ptCount val="10"/>
                <c:pt idx="0">
                  <c:v>717.54352877127815</c:v>
                </c:pt>
                <c:pt idx="1">
                  <c:v>702.87077007764503</c:v>
                </c:pt>
                <c:pt idx="2">
                  <c:v>877.09977300327648</c:v>
                </c:pt>
                <c:pt idx="3">
                  <c:v>687.45287710348589</c:v>
                </c:pt>
                <c:pt idx="4">
                  <c:v>663.07633417014108</c:v>
                </c:pt>
                <c:pt idx="5">
                  <c:v>753.39667416720476</c:v>
                </c:pt>
                <c:pt idx="6">
                  <c:v>616.12616863674327</c:v>
                </c:pt>
                <c:pt idx="7">
                  <c:v>589.60487074783373</c:v>
                </c:pt>
                <c:pt idx="8">
                  <c:v>573.15396801216752</c:v>
                </c:pt>
                <c:pt idx="9">
                  <c:v>734.61090757249451</c:v>
                </c:pt>
              </c:numCache>
            </c:numRef>
          </c:val>
        </c:ser>
        <c:ser>
          <c:idx val="0"/>
          <c:order val="1"/>
          <c:tx>
            <c:strRef>
              <c:f>'PER CAPITA #s &amp; CHARTS'!$L$37</c:f>
              <c:strCache>
                <c:ptCount val="1"/>
                <c:pt idx="0">
                  <c:v>2013</c:v>
                </c:pt>
              </c:strCache>
            </c:strRef>
          </c:tx>
          <c:spPr>
            <a:solidFill>
              <a:srgbClr val="F79646"/>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CHARTS'!$L$39:$L$48</c:f>
              <c:numCache>
                <c:formatCode>0.00</c:formatCode>
                <c:ptCount val="10"/>
                <c:pt idx="0">
                  <c:v>916.70100015719197</c:v>
                </c:pt>
                <c:pt idx="1">
                  <c:v>966.45652188860106</c:v>
                </c:pt>
                <c:pt idx="2">
                  <c:v>1173.9186641229871</c:v>
                </c:pt>
                <c:pt idx="3">
                  <c:v>939.04746214857926</c:v>
                </c:pt>
                <c:pt idx="4">
                  <c:v>765.54237898653469</c:v>
                </c:pt>
                <c:pt idx="5">
                  <c:v>968.09448584031122</c:v>
                </c:pt>
                <c:pt idx="6">
                  <c:v>758.73992960006058</c:v>
                </c:pt>
                <c:pt idx="7">
                  <c:v>749.1716781693159</c:v>
                </c:pt>
                <c:pt idx="8">
                  <c:v>803.12066776653626</c:v>
                </c:pt>
                <c:pt idx="9">
                  <c:v>939.82164519017238</c:v>
                </c:pt>
              </c:numCache>
            </c:numRef>
          </c:val>
        </c:ser>
        <c:dLbls/>
        <c:axId val="98723712"/>
        <c:axId val="98725248"/>
      </c:barChart>
      <c:catAx>
        <c:axId val="98723712"/>
        <c:scaling>
          <c:orientation val="minMax"/>
        </c:scaling>
        <c:axPos val="b"/>
        <c:numFmt formatCode="General" sourceLinked="1"/>
        <c:majorTickMark val="none"/>
        <c:tickLblPos val="nextTo"/>
        <c:crossAx val="98725248"/>
        <c:crosses val="autoZero"/>
        <c:auto val="1"/>
        <c:lblAlgn val="ctr"/>
        <c:lblOffset val="100"/>
      </c:catAx>
      <c:valAx>
        <c:axId val="98725248"/>
        <c:scaling>
          <c:orientation val="minMax"/>
        </c:scaling>
        <c:axPos val="l"/>
        <c:majorGridlines/>
        <c:numFmt formatCode="&quot;$&quot;#,##0" sourceLinked="0"/>
        <c:majorTickMark val="none"/>
        <c:tickLblPos val="nextTo"/>
        <c:crossAx val="98723712"/>
        <c:crosses val="autoZero"/>
        <c:crossBetween val="between"/>
      </c:valAx>
    </c:plotArea>
    <c:legend>
      <c:legendPos val="r"/>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baseline="0"/>
            </a:pPr>
            <a:r>
              <a:rPr lang="en-CA" sz="1400" baseline="0"/>
              <a:t>CPP Disability</a:t>
            </a:r>
          </a:p>
          <a:p>
            <a:pPr>
              <a:defRPr sz="1400" baseline="0"/>
            </a:pPr>
            <a:r>
              <a:rPr lang="en-CA" sz="1400" baseline="0"/>
              <a:t>Per Capita, 2005 and 2013</a:t>
            </a:r>
          </a:p>
          <a:p>
            <a:pPr>
              <a:defRPr sz="1400" baseline="0"/>
            </a:pPr>
            <a:endParaRPr lang="en-CA" sz="1400" baseline="0"/>
          </a:p>
        </c:rich>
      </c:tx>
    </c:title>
    <c:plotArea>
      <c:layout>
        <c:manualLayout>
          <c:layoutTarget val="inner"/>
          <c:xMode val="edge"/>
          <c:yMode val="edge"/>
          <c:x val="0.10015507436570428"/>
          <c:y val="0.2609838874307378"/>
          <c:w val="0.74911023622047279"/>
          <c:h val="0.62303623505395167"/>
        </c:manualLayout>
      </c:layout>
      <c:barChart>
        <c:barDir val="col"/>
        <c:grouping val="clustered"/>
        <c:ser>
          <c:idx val="13"/>
          <c:order val="0"/>
          <c:tx>
            <c:strRef>
              <c:f>'PER CAPITA #s &amp; CHARTS'!$N$37</c:f>
              <c:strCache>
                <c:ptCount val="1"/>
                <c:pt idx="0">
                  <c:v>2005</c:v>
                </c:pt>
              </c:strCache>
            </c:strRef>
          </c:tx>
          <c:spPr>
            <a:solidFill>
              <a:srgbClr val="0070C0"/>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CHARTS'!$N$39:$N$48</c:f>
              <c:numCache>
                <c:formatCode>0.00</c:formatCode>
                <c:ptCount val="10"/>
                <c:pt idx="0">
                  <c:v>215.23774340627824</c:v>
                </c:pt>
                <c:pt idx="1">
                  <c:v>188.31846100359255</c:v>
                </c:pt>
                <c:pt idx="2">
                  <c:v>249.28057285485963</c:v>
                </c:pt>
                <c:pt idx="3">
                  <c:v>184.61480875456525</c:v>
                </c:pt>
                <c:pt idx="4">
                  <c:v>86.107831064033206</c:v>
                </c:pt>
                <c:pt idx="5">
                  <c:v>121.69549943765919</c:v>
                </c:pt>
                <c:pt idx="6">
                  <c:v>93.864360058932562</c:v>
                </c:pt>
                <c:pt idx="7">
                  <c:v>81.024797614146834</c:v>
                </c:pt>
                <c:pt idx="8">
                  <c:v>92.243646056554027</c:v>
                </c:pt>
                <c:pt idx="9">
                  <c:v>120.57398843214251</c:v>
                </c:pt>
              </c:numCache>
            </c:numRef>
          </c:val>
        </c:ser>
        <c:ser>
          <c:idx val="0"/>
          <c:order val="1"/>
          <c:tx>
            <c:strRef>
              <c:f>'PER CAPITA #s &amp; CHARTS'!$O$37</c:f>
              <c:strCache>
                <c:ptCount val="1"/>
                <c:pt idx="0">
                  <c:v>2013</c:v>
                </c:pt>
              </c:strCache>
            </c:strRef>
          </c:tx>
          <c:spPr>
            <a:solidFill>
              <a:srgbClr val="F79646"/>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CHARTS'!$O$39:$O$48</c:f>
              <c:numCache>
                <c:formatCode>0.00</c:formatCode>
                <c:ptCount val="10"/>
                <c:pt idx="0">
                  <c:v>235.40908720741945</c:v>
                </c:pt>
                <c:pt idx="1">
                  <c:v>226.8961297020785</c:v>
                </c:pt>
                <c:pt idx="2">
                  <c:v>284.6262583630172</c:v>
                </c:pt>
                <c:pt idx="3">
                  <c:v>212.91010668000499</c:v>
                </c:pt>
                <c:pt idx="4">
                  <c:v>93.785703836078085</c:v>
                </c:pt>
                <c:pt idx="5">
                  <c:v>146.10725522625484</c:v>
                </c:pt>
                <c:pt idx="6">
                  <c:v>122.33846659638264</c:v>
                </c:pt>
                <c:pt idx="7">
                  <c:v>92.575683333303203</c:v>
                </c:pt>
                <c:pt idx="8">
                  <c:v>102.82582637431295</c:v>
                </c:pt>
                <c:pt idx="9">
                  <c:v>158.38146277871962</c:v>
                </c:pt>
              </c:numCache>
            </c:numRef>
          </c:val>
        </c:ser>
        <c:dLbls/>
        <c:axId val="98767616"/>
        <c:axId val="98769152"/>
      </c:barChart>
      <c:catAx>
        <c:axId val="98767616"/>
        <c:scaling>
          <c:orientation val="minMax"/>
        </c:scaling>
        <c:axPos val="b"/>
        <c:numFmt formatCode="General" sourceLinked="1"/>
        <c:majorTickMark val="none"/>
        <c:tickLblPos val="nextTo"/>
        <c:crossAx val="98769152"/>
        <c:crosses val="autoZero"/>
        <c:auto val="1"/>
        <c:lblAlgn val="ctr"/>
        <c:lblOffset val="100"/>
      </c:catAx>
      <c:valAx>
        <c:axId val="98769152"/>
        <c:scaling>
          <c:orientation val="minMax"/>
        </c:scaling>
        <c:axPos val="l"/>
        <c:majorGridlines/>
        <c:numFmt formatCode="&quot;$&quot;#,##0" sourceLinked="0"/>
        <c:majorTickMark val="none"/>
        <c:tickLblPos val="nextTo"/>
        <c:crossAx val="98767616"/>
        <c:crosses val="autoZero"/>
        <c:crossBetween val="between"/>
      </c:valAx>
    </c:plotArea>
    <c:legend>
      <c:legendPos val="r"/>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baseline="0"/>
            </a:pPr>
            <a:r>
              <a:rPr lang="en-CA" sz="1400" baseline="0"/>
              <a:t>Veterans' Pensions &amp; Awards</a:t>
            </a:r>
          </a:p>
          <a:p>
            <a:pPr>
              <a:defRPr sz="1400" baseline="0"/>
            </a:pPr>
            <a:r>
              <a:rPr lang="en-CA" sz="1400" baseline="0"/>
              <a:t>Per Capita, 2005 and 2013</a:t>
            </a:r>
          </a:p>
        </c:rich>
      </c:tx>
    </c:title>
    <c:plotArea>
      <c:layout/>
      <c:barChart>
        <c:barDir val="col"/>
        <c:grouping val="clustered"/>
        <c:ser>
          <c:idx val="15"/>
          <c:order val="0"/>
          <c:tx>
            <c:strRef>
              <c:f>'PER CAPITA #s &amp; CHARTS'!$Q$37</c:f>
              <c:strCache>
                <c:ptCount val="1"/>
                <c:pt idx="0">
                  <c:v>2005</c:v>
                </c:pt>
              </c:strCache>
            </c:strRef>
          </c:tx>
          <c:spPr>
            <a:solidFill>
              <a:srgbClr val="0070C0"/>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CHARTS'!$Q$39:$Q$48</c:f>
              <c:numCache>
                <c:formatCode>0.00</c:formatCode>
                <c:ptCount val="10"/>
                <c:pt idx="0">
                  <c:v>57.956699687934432</c:v>
                </c:pt>
                <c:pt idx="1">
                  <c:v>131.93881098620926</c:v>
                </c:pt>
                <c:pt idx="2">
                  <c:v>125.36104633867826</c:v>
                </c:pt>
                <c:pt idx="3">
                  <c:v>121.75754367390154</c:v>
                </c:pt>
                <c:pt idx="4">
                  <c:v>26.867542729428301</c:v>
                </c:pt>
                <c:pt idx="5">
                  <c:v>45.074748622883639</c:v>
                </c:pt>
                <c:pt idx="6">
                  <c:v>68.865548215388998</c:v>
                </c:pt>
                <c:pt idx="7">
                  <c:v>60.00465011881959</c:v>
                </c:pt>
                <c:pt idx="8">
                  <c:v>48.349639545308669</c:v>
                </c:pt>
                <c:pt idx="9">
                  <c:v>78.542072433053917</c:v>
                </c:pt>
              </c:numCache>
            </c:numRef>
          </c:val>
        </c:ser>
        <c:ser>
          <c:idx val="16"/>
          <c:order val="1"/>
          <c:tx>
            <c:strRef>
              <c:f>'PER CAPITA #s &amp; CHARTS'!$R$37</c:f>
              <c:strCache>
                <c:ptCount val="1"/>
                <c:pt idx="0">
                  <c:v>2013</c:v>
                </c:pt>
              </c:strCache>
            </c:strRef>
          </c:tx>
          <c:spPr>
            <a:solidFill>
              <a:schemeClr val="accent6"/>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CHARTS'!$R$39:$R$48</c:f>
              <c:numCache>
                <c:formatCode>0.00</c:formatCode>
                <c:ptCount val="10"/>
                <c:pt idx="0">
                  <c:v>71.967379838149157</c:v>
                </c:pt>
                <c:pt idx="1">
                  <c:v>140.95062602704877</c:v>
                </c:pt>
                <c:pt idx="2">
                  <c:v>203.50141199650898</c:v>
                </c:pt>
                <c:pt idx="3">
                  <c:v>186.3128839064307</c:v>
                </c:pt>
                <c:pt idx="4">
                  <c:v>32.263361243818188</c:v>
                </c:pt>
                <c:pt idx="5">
                  <c:v>50.17340412562789</c:v>
                </c:pt>
                <c:pt idx="6">
                  <c:v>61.643413401278075</c:v>
                </c:pt>
                <c:pt idx="7">
                  <c:v>45.383782259099803</c:v>
                </c:pt>
                <c:pt idx="8">
                  <c:v>49.005077165530366</c:v>
                </c:pt>
                <c:pt idx="9">
                  <c:v>77.728681512510235</c:v>
                </c:pt>
              </c:numCache>
            </c:numRef>
          </c:val>
        </c:ser>
        <c:dLbls/>
        <c:axId val="98798976"/>
        <c:axId val="98821248"/>
      </c:barChart>
      <c:catAx>
        <c:axId val="98798976"/>
        <c:scaling>
          <c:orientation val="minMax"/>
        </c:scaling>
        <c:axPos val="b"/>
        <c:numFmt formatCode="General" sourceLinked="1"/>
        <c:majorTickMark val="none"/>
        <c:tickLblPos val="nextTo"/>
        <c:crossAx val="98821248"/>
        <c:crosses val="autoZero"/>
        <c:auto val="1"/>
        <c:lblAlgn val="ctr"/>
        <c:lblOffset val="100"/>
      </c:catAx>
      <c:valAx>
        <c:axId val="98821248"/>
        <c:scaling>
          <c:orientation val="minMax"/>
        </c:scaling>
        <c:axPos val="l"/>
        <c:majorGridlines/>
        <c:numFmt formatCode="&quot;$&quot;#,##0" sourceLinked="0"/>
        <c:majorTickMark val="none"/>
        <c:tickLblPos val="nextTo"/>
        <c:crossAx val="98798976"/>
        <c:crosses val="autoZero"/>
        <c:crossBetween val="between"/>
      </c:valAx>
    </c:plotArea>
    <c:legend>
      <c:legendPos val="r"/>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baseline="0"/>
            </a:pPr>
            <a:r>
              <a:rPr lang="en-CA" sz="1400" baseline="0"/>
              <a:t>Workers' Compensation</a:t>
            </a:r>
          </a:p>
          <a:p>
            <a:pPr>
              <a:defRPr sz="1400" baseline="0"/>
            </a:pPr>
            <a:r>
              <a:rPr lang="en-CA" sz="1400" baseline="0"/>
              <a:t>Per Capita, 2005 and 2013</a:t>
            </a:r>
          </a:p>
        </c:rich>
      </c:tx>
    </c:title>
    <c:plotArea>
      <c:layout/>
      <c:barChart>
        <c:barDir val="col"/>
        <c:grouping val="clustered"/>
        <c:ser>
          <c:idx val="18"/>
          <c:order val="0"/>
          <c:tx>
            <c:strRef>
              <c:f>'PER CAPITA #s &amp; CHARTS'!$T$37</c:f>
              <c:strCache>
                <c:ptCount val="1"/>
                <c:pt idx="0">
                  <c:v>2005</c:v>
                </c:pt>
              </c:strCache>
            </c:strRef>
          </c:tx>
          <c:spPr>
            <a:solidFill>
              <a:srgbClr val="0070C0"/>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CHARTS'!$T$39:$T$48</c:f>
              <c:numCache>
                <c:formatCode>0.00</c:formatCode>
                <c:ptCount val="10"/>
                <c:pt idx="0">
                  <c:v>143.10296219243071</c:v>
                </c:pt>
                <c:pt idx="1">
                  <c:v>76.775987947618489</c:v>
                </c:pt>
                <c:pt idx="2">
                  <c:v>161.85111616496019</c:v>
                </c:pt>
                <c:pt idx="3">
                  <c:v>93.176337220805195</c:v>
                </c:pt>
                <c:pt idx="4">
                  <c:v>161.86108991831364</c:v>
                </c:pt>
                <c:pt idx="5">
                  <c:v>161.9174344807108</c:v>
                </c:pt>
                <c:pt idx="6">
                  <c:v>81.134112311337731</c:v>
                </c:pt>
                <c:pt idx="7">
                  <c:v>113.63602050480965</c:v>
                </c:pt>
                <c:pt idx="8">
                  <c:v>88.691181880746782</c:v>
                </c:pt>
                <c:pt idx="9">
                  <c:v>153.05913297316056</c:v>
                </c:pt>
              </c:numCache>
            </c:numRef>
          </c:val>
        </c:ser>
        <c:ser>
          <c:idx val="19"/>
          <c:order val="1"/>
          <c:tx>
            <c:strRef>
              <c:f>'PER CAPITA #s &amp; CHARTS'!$U$37</c:f>
              <c:strCache>
                <c:ptCount val="1"/>
                <c:pt idx="0">
                  <c:v>2013</c:v>
                </c:pt>
              </c:strCache>
            </c:strRef>
          </c:tx>
          <c:spPr>
            <a:solidFill>
              <a:schemeClr val="accent6"/>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CHARTS'!$U$39:$U$48</c:f>
              <c:numCache>
                <c:formatCode>0.00</c:formatCode>
                <c:ptCount val="10"/>
                <c:pt idx="0">
                  <c:v>171.20660887812323</c:v>
                </c:pt>
                <c:pt idx="1">
                  <c:v>107.94755261583735</c:v>
                </c:pt>
                <c:pt idx="2">
                  <c:v>170.41520014507032</c:v>
                </c:pt>
                <c:pt idx="3">
                  <c:v>96.464554238485789</c:v>
                </c:pt>
                <c:pt idx="4">
                  <c:v>172.97870532318481</c:v>
                </c:pt>
                <c:pt idx="5">
                  <c:v>148.66057157093306</c:v>
                </c:pt>
                <c:pt idx="6">
                  <c:v>91.990939998830356</c:v>
                </c:pt>
                <c:pt idx="7">
                  <c:v>107.76388138017326</c:v>
                </c:pt>
                <c:pt idx="8">
                  <c:v>90.150378716426289</c:v>
                </c:pt>
                <c:pt idx="9">
                  <c:v>181.01050340995857</c:v>
                </c:pt>
              </c:numCache>
            </c:numRef>
          </c:val>
        </c:ser>
        <c:dLbls/>
        <c:axId val="98851072"/>
        <c:axId val="98861056"/>
      </c:barChart>
      <c:catAx>
        <c:axId val="98851072"/>
        <c:scaling>
          <c:orientation val="minMax"/>
        </c:scaling>
        <c:axPos val="b"/>
        <c:numFmt formatCode="General" sourceLinked="1"/>
        <c:majorTickMark val="none"/>
        <c:tickLblPos val="nextTo"/>
        <c:crossAx val="98861056"/>
        <c:crosses val="autoZero"/>
        <c:auto val="1"/>
        <c:lblAlgn val="ctr"/>
        <c:lblOffset val="100"/>
      </c:catAx>
      <c:valAx>
        <c:axId val="98861056"/>
        <c:scaling>
          <c:orientation val="minMax"/>
        </c:scaling>
        <c:axPos val="l"/>
        <c:majorGridlines/>
        <c:numFmt formatCode="&quot;$&quot;#,##0" sourceLinked="0"/>
        <c:majorTickMark val="none"/>
        <c:tickLblPos val="nextTo"/>
        <c:crossAx val="98851072"/>
        <c:crosses val="autoZero"/>
        <c:crossBetween val="between"/>
        <c:majorUnit val="50"/>
      </c:valAx>
    </c:plotArea>
    <c:legend>
      <c:legendPos val="r"/>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sz="1400" baseline="0"/>
            </a:pPr>
            <a:r>
              <a:rPr lang="en-US" sz="1400" baseline="0"/>
              <a:t>Private Disability Insurance</a:t>
            </a:r>
          </a:p>
          <a:p>
            <a:pPr>
              <a:defRPr sz="1400" baseline="0"/>
            </a:pPr>
            <a:r>
              <a:rPr lang="en-US" sz="1400" baseline="0"/>
              <a:t>Per Capita, 2005 and 2013</a:t>
            </a:r>
          </a:p>
        </c:rich>
      </c:tx>
    </c:title>
    <c:plotArea>
      <c:layout/>
      <c:barChart>
        <c:barDir val="col"/>
        <c:grouping val="clustered"/>
        <c:ser>
          <c:idx val="21"/>
          <c:order val="0"/>
          <c:tx>
            <c:strRef>
              <c:f>'PER CAPITA #s &amp; CHARTS'!$W$37</c:f>
              <c:strCache>
                <c:ptCount val="1"/>
                <c:pt idx="0">
                  <c:v>2005</c:v>
                </c:pt>
              </c:strCache>
            </c:strRef>
          </c:tx>
          <c:spPr>
            <a:solidFill>
              <a:srgbClr val="0070C0"/>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CHARTS'!$W$39:$W$48</c:f>
              <c:numCache>
                <c:formatCode>0.00</c:formatCode>
                <c:ptCount val="10"/>
                <c:pt idx="0">
                  <c:v>106.93835489923491</c:v>
                </c:pt>
                <c:pt idx="1">
                  <c:v>86.916212770888862</c:v>
                </c:pt>
                <c:pt idx="2">
                  <c:v>100.22401132744571</c:v>
                </c:pt>
                <c:pt idx="3">
                  <c:v>105.60876098197433</c:v>
                </c:pt>
                <c:pt idx="4">
                  <c:v>141.40256571789766</c:v>
                </c:pt>
                <c:pt idx="5">
                  <c:v>152.21915087735542</c:v>
                </c:pt>
                <c:pt idx="6">
                  <c:v>99.295932431239692</c:v>
                </c:pt>
                <c:pt idx="7">
                  <c:v>92.599768701882084</c:v>
                </c:pt>
                <c:pt idx="8">
                  <c:v>115.90667014286325</c:v>
                </c:pt>
                <c:pt idx="9">
                  <c:v>148.48308913466059</c:v>
                </c:pt>
              </c:numCache>
            </c:numRef>
          </c:val>
        </c:ser>
        <c:ser>
          <c:idx val="22"/>
          <c:order val="1"/>
          <c:tx>
            <c:strRef>
              <c:f>'PER CAPITA #s &amp; CHARTS'!$X$37</c:f>
              <c:strCache>
                <c:ptCount val="1"/>
                <c:pt idx="0">
                  <c:v>2013</c:v>
                </c:pt>
              </c:strCache>
            </c:strRef>
          </c:tx>
          <c:spPr>
            <a:solidFill>
              <a:schemeClr val="accent6"/>
            </a:solidFill>
          </c:spPr>
          <c:cat>
            <c:strRef>
              <c:f>'PER CAPITA #s &amp; CHARTS'!$A$39:$A$48</c:f>
              <c:strCache>
                <c:ptCount val="10"/>
                <c:pt idx="0">
                  <c:v>NF</c:v>
                </c:pt>
                <c:pt idx="1">
                  <c:v>PEI</c:v>
                </c:pt>
                <c:pt idx="2">
                  <c:v>NS</c:v>
                </c:pt>
                <c:pt idx="3">
                  <c:v>NB</c:v>
                </c:pt>
                <c:pt idx="4">
                  <c:v>QUE</c:v>
                </c:pt>
                <c:pt idx="5">
                  <c:v>ON</c:v>
                </c:pt>
                <c:pt idx="6">
                  <c:v>MB</c:v>
                </c:pt>
                <c:pt idx="7">
                  <c:v>SK</c:v>
                </c:pt>
                <c:pt idx="8">
                  <c:v>ALTA</c:v>
                </c:pt>
                <c:pt idx="9">
                  <c:v>BC</c:v>
                </c:pt>
              </c:strCache>
            </c:strRef>
          </c:cat>
          <c:val>
            <c:numRef>
              <c:f>'PER CAPITA #s &amp; CHARTS'!$X$39:$X$48</c:f>
              <c:numCache>
                <c:formatCode>0.00</c:formatCode>
                <c:ptCount val="10"/>
                <c:pt idx="0">
                  <c:v>187.49396326254646</c:v>
                </c:pt>
                <c:pt idx="1">
                  <c:v>178.76664764406186</c:v>
                </c:pt>
                <c:pt idx="2">
                  <c:v>199.36563551507913</c:v>
                </c:pt>
                <c:pt idx="3">
                  <c:v>187.90077780336051</c:v>
                </c:pt>
                <c:pt idx="4">
                  <c:v>177.93286645678518</c:v>
                </c:pt>
                <c:pt idx="5">
                  <c:v>211.05447242137924</c:v>
                </c:pt>
                <c:pt idx="6">
                  <c:v>135.14132937972499</c:v>
                </c:pt>
                <c:pt idx="7">
                  <c:v>123.8561388345951</c:v>
                </c:pt>
                <c:pt idx="8">
                  <c:v>174.66168032521006</c:v>
                </c:pt>
                <c:pt idx="9">
                  <c:v>199.66800556975539</c:v>
                </c:pt>
              </c:numCache>
            </c:numRef>
          </c:val>
        </c:ser>
        <c:dLbls/>
        <c:axId val="98964992"/>
        <c:axId val="98966528"/>
      </c:barChart>
      <c:catAx>
        <c:axId val="98964992"/>
        <c:scaling>
          <c:orientation val="minMax"/>
        </c:scaling>
        <c:axPos val="b"/>
        <c:numFmt formatCode="General" sourceLinked="1"/>
        <c:majorTickMark val="none"/>
        <c:tickLblPos val="nextTo"/>
        <c:crossAx val="98966528"/>
        <c:crosses val="autoZero"/>
        <c:auto val="1"/>
        <c:lblAlgn val="ctr"/>
        <c:lblOffset val="100"/>
      </c:catAx>
      <c:valAx>
        <c:axId val="98966528"/>
        <c:scaling>
          <c:orientation val="minMax"/>
        </c:scaling>
        <c:axPos val="l"/>
        <c:majorGridlines/>
        <c:numFmt formatCode="&quot;$&quot;#,##0" sourceLinked="0"/>
        <c:majorTickMark val="none"/>
        <c:tickLblPos val="nextTo"/>
        <c:crossAx val="98964992"/>
        <c:crosses val="autoZero"/>
        <c:crossBetween val="between"/>
      </c:valAx>
      <c:spPr>
        <a:solidFill>
          <a:schemeClr val="bg1"/>
        </a:solidFill>
      </c:spPr>
    </c:plotArea>
    <c:legend>
      <c:legendPos val="r"/>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 </a:t>
            </a:r>
            <a:endParaRPr lang="en-US"/>
          </a:p>
          <a:p>
            <a:pPr>
              <a:defRPr lang="en-US"/>
            </a:pPr>
            <a:r>
              <a:rPr lang="en-US" sz="1800" b="1" i="0" baseline="0"/>
              <a:t>ONTARIO 2010-11</a:t>
            </a:r>
            <a:br>
              <a:rPr lang="en-US" sz="1800" b="1" i="0" baseline="0"/>
            </a:br>
            <a:r>
              <a:rPr lang="en-US" sz="1800" b="1" i="0" baseline="0"/>
              <a:t>$12.0 B</a:t>
            </a:r>
            <a:endParaRPr lang="en-US"/>
          </a:p>
        </c:rich>
      </c:tx>
      <c:layout/>
    </c:title>
    <c:plotArea>
      <c:layout/>
      <c:pieChart>
        <c:varyColors val="1"/>
        <c:ser>
          <c:idx val="4"/>
          <c:order val="0"/>
          <c:dLbls>
            <c:dLbl>
              <c:idx val="0"/>
              <c:layout/>
              <c:tx>
                <c:rich>
                  <a:bodyPr/>
                  <a:lstStyle/>
                  <a:p>
                    <a:r>
                      <a:rPr lang="en-US"/>
                      <a:t>Disability Tax Measures</a:t>
                    </a:r>
                  </a:p>
                  <a:p>
                    <a:r>
                      <a:rPr lang="en-US"/>
                      <a:t>$0.8</a:t>
                    </a:r>
                    <a:r>
                      <a:rPr lang="en-US" baseline="0"/>
                      <a:t> B</a:t>
                    </a:r>
                    <a:endParaRPr lang="en-US"/>
                  </a:p>
                </c:rich>
              </c:tx>
              <c:showVal val="1"/>
              <c:showCatName val="1"/>
            </c:dLbl>
            <c:dLbl>
              <c:idx val="1"/>
              <c:layout>
                <c:manualLayout>
                  <c:x val="-0.12946123487760744"/>
                  <c:y val="0.11608429323343852"/>
                </c:manualLayout>
              </c:layout>
              <c:tx>
                <c:rich>
                  <a:bodyPr/>
                  <a:lstStyle/>
                  <a:p>
                    <a:r>
                      <a:rPr lang="en-US"/>
                      <a:t>CPP Disability</a:t>
                    </a:r>
                  </a:p>
                  <a:p>
                    <a:r>
                      <a:rPr lang="en-US"/>
                      <a:t>$1.8 B</a:t>
                    </a:r>
                  </a:p>
                </c:rich>
              </c:tx>
              <c:showVal val="1"/>
              <c:showCatName val="1"/>
            </c:dLbl>
            <c:dLbl>
              <c:idx val="2"/>
              <c:layout>
                <c:manualLayout>
                  <c:x val="2.4764554019988547E-2"/>
                  <c:y val="-7.4081633754370926E-3"/>
                </c:manualLayout>
              </c:layout>
              <c:tx>
                <c:rich>
                  <a:bodyPr/>
                  <a:lstStyle/>
                  <a:p>
                    <a:r>
                      <a:rPr lang="en-US"/>
                      <a:t>EI Sickness</a:t>
                    </a:r>
                  </a:p>
                  <a:p>
                    <a:r>
                      <a:rPr lang="en-US"/>
                      <a:t>$0.3 B</a:t>
                    </a:r>
                  </a:p>
                </c:rich>
              </c:tx>
              <c:showVal val="1"/>
              <c:showCatName val="1"/>
            </c:dLbl>
            <c:dLbl>
              <c:idx val="3"/>
              <c:layout>
                <c:manualLayout>
                  <c:x val="-0.15762797495367817"/>
                  <c:y val="-2.5941031178249602E-2"/>
                </c:manualLayout>
              </c:layout>
              <c:tx>
                <c:rich>
                  <a:bodyPr/>
                  <a:lstStyle/>
                  <a:p>
                    <a:r>
                      <a:rPr lang="en-US"/>
                      <a:t>Veterans' Disability Pensions &amp; Awards</a:t>
                    </a:r>
                  </a:p>
                  <a:p>
                    <a:r>
                      <a:rPr lang="en-US"/>
                      <a:t>$0.7 B</a:t>
                    </a:r>
                  </a:p>
                </c:rich>
              </c:tx>
              <c:showVal val="1"/>
              <c:showCatName val="1"/>
            </c:dLbl>
            <c:dLbl>
              <c:idx val="4"/>
              <c:layout>
                <c:manualLayout>
                  <c:x val="-6.0182230498162924E-2"/>
                  <c:y val="-0.1771988238360177"/>
                </c:manualLayout>
              </c:layout>
              <c:tx>
                <c:rich>
                  <a:bodyPr/>
                  <a:lstStyle/>
                  <a:p>
                    <a:r>
                      <a:rPr lang="en-US"/>
                      <a:t>ODSP</a:t>
                    </a:r>
                  </a:p>
                  <a:p>
                    <a:r>
                      <a:rPr lang="en-US"/>
                      <a:t>$3.5 B</a:t>
                    </a:r>
                  </a:p>
                </c:rich>
              </c:tx>
              <c:showVal val="1"/>
              <c:showCatName val="1"/>
            </c:dLbl>
            <c:dLbl>
              <c:idx val="5"/>
              <c:layout>
                <c:manualLayout>
                  <c:x val="-3.4490205663887254E-2"/>
                  <c:y val="7.5179962421922713E-3"/>
                </c:manualLayout>
              </c:layout>
              <c:tx>
                <c:rich>
                  <a:bodyPr/>
                  <a:lstStyle/>
                  <a:p>
                    <a:r>
                      <a:rPr lang="en-US"/>
                      <a:t>First Nations SA for Disabled</a:t>
                    </a:r>
                  </a:p>
                  <a:p>
                    <a:r>
                      <a:rPr lang="en-US"/>
                      <a:t>&lt;$0.1</a:t>
                    </a:r>
                    <a:r>
                      <a:rPr lang="en-US" baseline="0"/>
                      <a:t> B</a:t>
                    </a:r>
                    <a:endParaRPr lang="en-US"/>
                  </a:p>
                </c:rich>
              </c:tx>
              <c:showVal val="1"/>
              <c:showCatName val="1"/>
            </c:dLbl>
            <c:dLbl>
              <c:idx val="6"/>
              <c:layout>
                <c:manualLayout>
                  <c:x val="0.22460743253537452"/>
                  <c:y val="-7.1091227623537423E-2"/>
                </c:manualLayout>
              </c:layout>
              <c:tx>
                <c:rich>
                  <a:bodyPr/>
                  <a:lstStyle/>
                  <a:p>
                    <a:r>
                      <a:rPr lang="en-US"/>
                      <a:t>Workers' Compensation</a:t>
                    </a:r>
                  </a:p>
                  <a:p>
                    <a:r>
                      <a:rPr lang="en-US"/>
                      <a:t>$2.3 B</a:t>
                    </a:r>
                  </a:p>
                </c:rich>
              </c:tx>
              <c:showVal val="1"/>
              <c:showCatName val="1"/>
            </c:dLbl>
            <c:dLbl>
              <c:idx val="7"/>
              <c:layout>
                <c:manualLayout>
                  <c:x val="0.12855329764967738"/>
                  <c:y val="0.18742772378367242"/>
                </c:manualLayout>
              </c:layout>
              <c:tx>
                <c:rich>
                  <a:bodyPr/>
                  <a:lstStyle/>
                  <a:p>
                    <a:r>
                      <a:rPr lang="en-US"/>
                      <a:t>Private Disability Insurance</a:t>
                    </a:r>
                  </a:p>
                  <a:p>
                    <a:r>
                      <a:rPr lang="en-US"/>
                      <a:t>$2.5 B</a:t>
                    </a:r>
                  </a:p>
                </c:rich>
              </c:tx>
              <c:showVal val="1"/>
              <c:showCatName val="1"/>
            </c:dLbl>
            <c:txPr>
              <a:bodyPr/>
              <a:lstStyle/>
              <a:p>
                <a:pPr>
                  <a:defRPr lang="en-US" sz="1200" b="1" i="0" baseline="0"/>
                </a:pPr>
                <a:endParaRPr lang="en-US"/>
              </a:p>
            </c:txPr>
            <c:showVal val="1"/>
            <c:showCatName val="1"/>
            <c:showLeaderLines val="1"/>
          </c:dLbls>
          <c:cat>
            <c:strRef>
              <c:f>('CAN &amp; ON input to 2013-14'!$A$55:$A$60,'CAN &amp; ON input to 2013-14'!$A$62:$A$63)</c:f>
              <c:strCache>
                <c:ptCount val="8"/>
                <c:pt idx="0">
                  <c:v>Disability Tax Measures</c:v>
                </c:pt>
                <c:pt idx="1">
                  <c:v>CPP Disability</c:v>
                </c:pt>
                <c:pt idx="2">
                  <c:v>EI Sickness</c:v>
                </c:pt>
                <c:pt idx="3">
                  <c:v>Veterans' Disability Pensions &amp; Awards</c:v>
                </c:pt>
                <c:pt idx="4">
                  <c:v>ODSP</c:v>
                </c:pt>
                <c:pt idx="5">
                  <c:v>First Nations SA for Disabled</c:v>
                </c:pt>
                <c:pt idx="6">
                  <c:v>Workers' Compensation </c:v>
                </c:pt>
                <c:pt idx="7">
                  <c:v>Private Disability Insurance</c:v>
                </c:pt>
              </c:strCache>
            </c:strRef>
          </c:cat>
          <c:val>
            <c:numRef>
              <c:f>('CAN &amp; ON input to 2013-14'!$F$55:$F$60,'CAN &amp; ON input to 2013-14'!$F$62:$F$63)</c:f>
              <c:numCache>
                <c:formatCode>#,##0.0</c:formatCode>
                <c:ptCount val="8"/>
                <c:pt idx="0">
                  <c:v>849.87520000000006</c:v>
                </c:pt>
                <c:pt idx="1">
                  <c:v>1827.9</c:v>
                </c:pt>
                <c:pt idx="2">
                  <c:v>308.5</c:v>
                </c:pt>
                <c:pt idx="3">
                  <c:v>708.1</c:v>
                </c:pt>
                <c:pt idx="4">
                  <c:v>3535.8</c:v>
                </c:pt>
                <c:pt idx="5">
                  <c:v>65.67</c:v>
                </c:pt>
                <c:pt idx="6">
                  <c:v>2263.6</c:v>
                </c:pt>
                <c:pt idx="7">
                  <c:v>2459</c:v>
                </c:pt>
              </c:numCache>
            </c:numRef>
          </c:val>
        </c:ser>
        <c:dLbls>
          <c:showCatName val="1"/>
          <c:showPercent val="1"/>
        </c:dLbls>
        <c:firstSliceAng val="0"/>
      </c:pieChart>
    </c:plotArea>
    <c:plotVisOnly val="1"/>
    <c:dispBlanksAs val="zero"/>
  </c:chart>
</c:chartSpace>
</file>

<file path=xl/charts/chart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 </a:t>
            </a:r>
          </a:p>
          <a:p>
            <a:pPr>
              <a:defRPr/>
            </a:pPr>
            <a:r>
              <a:rPr lang="en-US" sz="1800" b="1" i="0" baseline="0"/>
              <a:t>CANADA 2013 </a:t>
            </a:r>
            <a:br>
              <a:rPr lang="en-US" sz="1800" b="1" i="0" baseline="0"/>
            </a:br>
            <a:r>
              <a:rPr lang="en-US" sz="1800" b="1" i="0" baseline="0"/>
              <a:t>$31.7 B </a:t>
            </a:r>
            <a:endParaRPr lang="en-CA"/>
          </a:p>
        </c:rich>
      </c:tx>
      <c:layout/>
    </c:title>
    <c:plotArea>
      <c:layout/>
      <c:pieChart>
        <c:varyColors val="1"/>
        <c:ser>
          <c:idx val="0"/>
          <c:order val="0"/>
          <c:dLbls>
            <c:dLbl>
              <c:idx val="0"/>
              <c:layout>
                <c:manualLayout>
                  <c:x val="0.19121256240560158"/>
                  <c:y val="5.1916828345902284E-2"/>
                </c:manualLayout>
              </c:layout>
              <c:tx>
                <c:rich>
                  <a:bodyPr/>
                  <a:lstStyle/>
                  <a:p>
                    <a:r>
                      <a:rPr lang="en-US"/>
                      <a:t>Disability Tax Measures,</a:t>
                    </a:r>
                  </a:p>
                  <a:p>
                    <a:r>
                      <a:rPr lang="en-US"/>
                      <a:t>$2.5</a:t>
                    </a:r>
                    <a:r>
                      <a:rPr lang="en-US" baseline="0"/>
                      <a:t> B</a:t>
                    </a:r>
                    <a:endParaRPr lang="en-US"/>
                  </a:p>
                </c:rich>
              </c:tx>
              <c:showVal val="1"/>
              <c:showCatName val="1"/>
            </c:dLbl>
            <c:dLbl>
              <c:idx val="1"/>
              <c:layout/>
              <c:tx>
                <c:rich>
                  <a:bodyPr/>
                  <a:lstStyle/>
                  <a:p>
                    <a:r>
                      <a:rPr lang="en-US"/>
                      <a:t>CPP-D &amp; QPP-D</a:t>
                    </a:r>
                  </a:p>
                  <a:p>
                    <a:r>
                      <a:rPr lang="en-US"/>
                      <a:t> $4.8 B </a:t>
                    </a:r>
                  </a:p>
                </c:rich>
              </c:tx>
              <c:showVal val="1"/>
              <c:showCatName val="1"/>
            </c:dLbl>
            <c:dLbl>
              <c:idx val="2"/>
              <c:layout>
                <c:manualLayout>
                  <c:x val="5.3666280077170322E-2"/>
                  <c:y val="-2.9430651841109719E-2"/>
                </c:manualLayout>
              </c:layout>
              <c:tx>
                <c:rich>
                  <a:bodyPr/>
                  <a:lstStyle/>
                  <a:p>
                    <a:r>
                      <a:rPr lang="en-US"/>
                      <a:t>EI Sickness</a:t>
                    </a:r>
                  </a:p>
                  <a:p>
                    <a:r>
                      <a:rPr lang="en-US"/>
                      <a:t>$1.3</a:t>
                    </a:r>
                    <a:r>
                      <a:rPr lang="en-US" baseline="0"/>
                      <a:t> B</a:t>
                    </a:r>
                    <a:endParaRPr lang="en-US"/>
                  </a:p>
                </c:rich>
              </c:tx>
              <c:showVal val="1"/>
              <c:showCatName val="1"/>
            </c:dLbl>
            <c:dLbl>
              <c:idx val="3"/>
              <c:layout>
                <c:manualLayout>
                  <c:x val="1.5008426082519791E-2"/>
                  <c:y val="3.2312598778969602E-2"/>
                </c:manualLayout>
              </c:layout>
              <c:tx>
                <c:rich>
                  <a:bodyPr/>
                  <a:lstStyle/>
                  <a:p>
                    <a:r>
                      <a:rPr lang="en-US"/>
                      <a:t>Veterans' Disability Pensions &amp; Awards </a:t>
                    </a:r>
                  </a:p>
                  <a:p>
                    <a:r>
                      <a:rPr lang="en-US"/>
                      <a:t>$2 B</a:t>
                    </a:r>
                  </a:p>
                </c:rich>
              </c:tx>
              <c:showVal val="1"/>
              <c:showCatName val="1"/>
            </c:dLbl>
            <c:dLbl>
              <c:idx val="4"/>
              <c:layout>
                <c:manualLayout>
                  <c:x val="-4.9151302271466947E-2"/>
                  <c:y val="-0.16060451617290156"/>
                </c:manualLayout>
              </c:layout>
              <c:tx>
                <c:rich>
                  <a:bodyPr/>
                  <a:lstStyle/>
                  <a:p>
                    <a:r>
                      <a:rPr lang="en-US"/>
                      <a:t>Social Assistance Benefits</a:t>
                    </a:r>
                    <a:r>
                      <a:rPr lang="en-US" baseline="0"/>
                      <a:t> for Persons with Disabilities</a:t>
                    </a:r>
                  </a:p>
                  <a:p>
                    <a:r>
                      <a:rPr lang="en-US"/>
                      <a:t> $9.0</a:t>
                    </a:r>
                    <a:r>
                      <a:rPr lang="en-US" baseline="0"/>
                      <a:t> B</a:t>
                    </a:r>
                    <a:endParaRPr lang="en-US"/>
                  </a:p>
                </c:rich>
              </c:tx>
              <c:showVal val="1"/>
              <c:showCatName val="1"/>
            </c:dLbl>
            <c:dLbl>
              <c:idx val="5"/>
              <c:layout>
                <c:manualLayout>
                  <c:x val="0.15773399274983288"/>
                  <c:y val="-6.511659016426781E-2"/>
                </c:manualLayout>
              </c:layout>
              <c:tx>
                <c:rich>
                  <a:bodyPr/>
                  <a:lstStyle/>
                  <a:p>
                    <a:r>
                      <a:rPr lang="en-US"/>
                      <a:t>Workers' Compensation</a:t>
                    </a:r>
                  </a:p>
                  <a:p>
                    <a:r>
                      <a:rPr lang="en-US"/>
                      <a:t> $5.4</a:t>
                    </a:r>
                    <a:r>
                      <a:rPr lang="en-US" baseline="0"/>
                      <a:t> B</a:t>
                    </a:r>
                    <a:endParaRPr lang="en-US"/>
                  </a:p>
                </c:rich>
              </c:tx>
              <c:showVal val="1"/>
              <c:showCatName val="1"/>
            </c:dLbl>
            <c:dLbl>
              <c:idx val="6"/>
              <c:layout>
                <c:manualLayout>
                  <c:x val="0.14383066826469287"/>
                  <c:y val="0.18802400118455329"/>
                </c:manualLayout>
              </c:layout>
              <c:tx>
                <c:rich>
                  <a:bodyPr/>
                  <a:lstStyle/>
                  <a:p>
                    <a:r>
                      <a:rPr lang="en-US"/>
                      <a:t>Private Disability Insurance</a:t>
                    </a:r>
                  </a:p>
                  <a:p>
                    <a:r>
                      <a:rPr lang="en-US"/>
                      <a:t>$6.7 B</a:t>
                    </a:r>
                  </a:p>
                </c:rich>
              </c:tx>
              <c:showVal val="1"/>
              <c:showCatName val="1"/>
            </c:dLbl>
            <c:txPr>
              <a:bodyPr/>
              <a:lstStyle/>
              <a:p>
                <a:pPr>
                  <a:defRPr sz="1400" b="1" i="0" baseline="0"/>
                </a:pPr>
                <a:endParaRPr lang="en-US"/>
              </a:p>
            </c:txPr>
            <c:showVal val="1"/>
            <c:showCatName val="1"/>
            <c:showLeaderLines val="1"/>
          </c:dLbls>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2013-14'!$L$43:$L$49</c:f>
              <c:numCache>
                <c:formatCode>#,##0.0</c:formatCode>
                <c:ptCount val="7"/>
                <c:pt idx="0">
                  <c:v>2521.625</c:v>
                </c:pt>
                <c:pt idx="1">
                  <c:v>4766.8</c:v>
                </c:pt>
                <c:pt idx="2">
                  <c:v>1276.8</c:v>
                </c:pt>
                <c:pt idx="3">
                  <c:v>2024.3000000000002</c:v>
                </c:pt>
                <c:pt idx="4">
                  <c:v>9024.7106577878094</c:v>
                </c:pt>
                <c:pt idx="5">
                  <c:v>5400.1359999999995</c:v>
                </c:pt>
                <c:pt idx="6">
                  <c:v>6709</c:v>
                </c:pt>
              </c:numCache>
            </c:numRef>
          </c:val>
        </c:ser>
        <c:dLbls>
          <c:showCatName val="1"/>
          <c:showPercent val="1"/>
        </c:dLbls>
        <c:firstSliceAng val="0"/>
      </c:pieChart>
    </c:plotArea>
    <c:plotVisOnly val="1"/>
    <c:dispBlanksAs val="zero"/>
  </c:chart>
</c:chartSpace>
</file>

<file path=xl/charts/chart2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 </a:t>
            </a:r>
          </a:p>
          <a:p>
            <a:pPr>
              <a:defRPr lang="en-US"/>
            </a:pPr>
            <a:r>
              <a:rPr lang="en-US" sz="1800" b="1" i="0" baseline="0"/>
              <a:t>ONTARIO 2009-10</a:t>
            </a:r>
            <a:br>
              <a:rPr lang="en-US" sz="1800" b="1" i="0" baseline="0"/>
            </a:br>
            <a:r>
              <a:rPr lang="en-US" sz="1800" b="1" i="0" baseline="0"/>
              <a:t>$11.7 B  (revised)</a:t>
            </a:r>
            <a:endParaRPr lang="en-US"/>
          </a:p>
        </c:rich>
      </c:tx>
      <c:layout/>
    </c:title>
    <c:plotArea>
      <c:layout/>
      <c:pieChart>
        <c:varyColors val="1"/>
        <c:ser>
          <c:idx val="0"/>
          <c:order val="0"/>
          <c:tx>
            <c:strRef>
              <c:f>'CAN &amp; ON input to 2013-14'!$D$54</c:f>
              <c:strCache>
                <c:ptCount val="1"/>
                <c:pt idx="0">
                  <c:v>2009-10</c:v>
                </c:pt>
              </c:strCache>
            </c:strRef>
          </c:tx>
          <c:dLbls>
            <c:dLbl>
              <c:idx val="0"/>
              <c:layout>
                <c:manualLayout>
                  <c:x val="0.10137205293498212"/>
                  <c:y val="3.8072007824164193E-2"/>
                </c:manualLayout>
              </c:layout>
              <c:tx>
                <c:rich>
                  <a:bodyPr/>
                  <a:lstStyle/>
                  <a:p>
                    <a:r>
                      <a:rPr lang="en-US"/>
                      <a:t>Disability Tax Measures, $0.8 B</a:t>
                    </a:r>
                  </a:p>
                </c:rich>
              </c:tx>
              <c:showVal val="1"/>
              <c:showCatName val="1"/>
            </c:dLbl>
            <c:dLbl>
              <c:idx val="1"/>
              <c:layout>
                <c:manualLayout>
                  <c:x val="-0.13041751629124151"/>
                  <c:y val="0.13109568442541394"/>
                </c:manualLayout>
              </c:layout>
              <c:tx>
                <c:rich>
                  <a:bodyPr/>
                  <a:lstStyle/>
                  <a:p>
                    <a:r>
                      <a:rPr lang="en-US"/>
                      <a:t>CPP Disability</a:t>
                    </a:r>
                  </a:p>
                  <a:p>
                    <a:r>
                      <a:rPr lang="en-US"/>
                      <a:t>$1.7 B</a:t>
                    </a:r>
                  </a:p>
                </c:rich>
              </c:tx>
              <c:showVal val="1"/>
              <c:showCatName val="1"/>
            </c:dLbl>
            <c:dLbl>
              <c:idx val="2"/>
              <c:layout>
                <c:manualLayout>
                  <c:x val="2.3343384775234684E-2"/>
                  <c:y val="8.1673116437758139E-3"/>
                </c:manualLayout>
              </c:layout>
              <c:tx>
                <c:rich>
                  <a:bodyPr/>
                  <a:lstStyle/>
                  <a:p>
                    <a:r>
                      <a:rPr lang="en-US"/>
                      <a:t>EI Sickness</a:t>
                    </a:r>
                  </a:p>
                  <a:p>
                    <a:r>
                      <a:rPr lang="en-US"/>
                      <a:t>$0.3 B</a:t>
                    </a:r>
                  </a:p>
                </c:rich>
              </c:tx>
              <c:showVal val="1"/>
              <c:showCatName val="1"/>
            </c:dLbl>
            <c:dLbl>
              <c:idx val="3"/>
              <c:layout>
                <c:manualLayout>
                  <c:x val="1.1585952043950685E-2"/>
                  <c:y val="3.5216194570510645E-2"/>
                </c:manualLayout>
              </c:layout>
              <c:tx>
                <c:rich>
                  <a:bodyPr/>
                  <a:lstStyle/>
                  <a:p>
                    <a:r>
                      <a:rPr lang="en-US"/>
                      <a:t>Veterans' Disability Pensions &amp; Awards</a:t>
                    </a:r>
                  </a:p>
                  <a:p>
                    <a:r>
                      <a:rPr lang="en-US"/>
                      <a:t>$0.7</a:t>
                    </a:r>
                    <a:r>
                      <a:rPr lang="en-US" baseline="0"/>
                      <a:t> B</a:t>
                    </a:r>
                    <a:endParaRPr lang="en-US"/>
                  </a:p>
                </c:rich>
              </c:tx>
              <c:showVal val="1"/>
              <c:showCatName val="1"/>
            </c:dLbl>
            <c:dLbl>
              <c:idx val="4"/>
              <c:layout>
                <c:manualLayout>
                  <c:x val="-8.3779955244464716E-2"/>
                  <c:y val="-0.18542533729959398"/>
                </c:manualLayout>
              </c:layout>
              <c:tx>
                <c:rich>
                  <a:bodyPr/>
                  <a:lstStyle/>
                  <a:p>
                    <a:r>
                      <a:rPr lang="en-US"/>
                      <a:t>ODSP</a:t>
                    </a:r>
                  </a:p>
                  <a:p>
                    <a:r>
                      <a:rPr lang="en-US"/>
                      <a:t>$3.3 B</a:t>
                    </a:r>
                  </a:p>
                </c:rich>
              </c:tx>
              <c:showVal val="1"/>
              <c:showCatName val="1"/>
            </c:dLbl>
            <c:dLbl>
              <c:idx val="5"/>
              <c:layout>
                <c:manualLayout>
                  <c:x val="-4.0170503431803353E-2"/>
                  <c:y val="-6.6152081697877004E-3"/>
                </c:manualLayout>
              </c:layout>
              <c:tx>
                <c:rich>
                  <a:bodyPr/>
                  <a:lstStyle/>
                  <a:p>
                    <a:r>
                      <a:rPr lang="en-US"/>
                      <a:t>First Nations SA for Disabled</a:t>
                    </a:r>
                  </a:p>
                  <a:p>
                    <a:r>
                      <a:rPr lang="en-US"/>
                      <a:t>&lt;$0.1 B</a:t>
                    </a:r>
                  </a:p>
                </c:rich>
              </c:tx>
              <c:showVal val="1"/>
              <c:showCatName val="1"/>
            </c:dLbl>
            <c:dLbl>
              <c:idx val="6"/>
              <c:layout>
                <c:manualLayout>
                  <c:x val="0.21445768886904004"/>
                  <c:y val="-7.7955305641695352E-2"/>
                </c:manualLayout>
              </c:layout>
              <c:tx>
                <c:rich>
                  <a:bodyPr/>
                  <a:lstStyle/>
                  <a:p>
                    <a:r>
                      <a:rPr lang="en-US"/>
                      <a:t>Workers' Compensation</a:t>
                    </a:r>
                  </a:p>
                  <a:p>
                    <a:r>
                      <a:rPr lang="en-US"/>
                      <a:t>$2.3 B</a:t>
                    </a:r>
                  </a:p>
                </c:rich>
              </c:tx>
              <c:showVal val="1"/>
              <c:showCatName val="1"/>
            </c:dLbl>
            <c:dLbl>
              <c:idx val="7"/>
              <c:layout>
                <c:manualLayout>
                  <c:x val="0.13007645641613241"/>
                  <c:y val="0.18774468366071326"/>
                </c:manualLayout>
              </c:layout>
              <c:tx>
                <c:rich>
                  <a:bodyPr/>
                  <a:lstStyle/>
                  <a:p>
                    <a:r>
                      <a:rPr lang="en-US"/>
                      <a:t>Private Disability Insurance</a:t>
                    </a:r>
                  </a:p>
                  <a:p>
                    <a:r>
                      <a:rPr lang="en-US"/>
                      <a:t>$2.4 B</a:t>
                    </a:r>
                  </a:p>
                </c:rich>
              </c:tx>
              <c:showVal val="1"/>
              <c:showCatName val="1"/>
            </c:dLbl>
            <c:txPr>
              <a:bodyPr/>
              <a:lstStyle/>
              <a:p>
                <a:pPr>
                  <a:defRPr lang="en-US" sz="1200" b="1"/>
                </a:pPr>
                <a:endParaRPr lang="en-US"/>
              </a:p>
            </c:txPr>
            <c:showVal val="1"/>
            <c:showCatName val="1"/>
            <c:showLeaderLines val="1"/>
          </c:dLbls>
          <c:cat>
            <c:strRef>
              <c:f>('CAN &amp; ON input to 2013-14'!$A$55:$A$60,'CAN &amp; ON input to 2013-14'!$A$62:$A$63)</c:f>
              <c:strCache>
                <c:ptCount val="8"/>
                <c:pt idx="0">
                  <c:v>Disability Tax Measures</c:v>
                </c:pt>
                <c:pt idx="1">
                  <c:v>CPP Disability</c:v>
                </c:pt>
                <c:pt idx="2">
                  <c:v>EI Sickness</c:v>
                </c:pt>
                <c:pt idx="3">
                  <c:v>Veterans' Disability Pensions &amp; Awards</c:v>
                </c:pt>
                <c:pt idx="4">
                  <c:v>ODSP</c:v>
                </c:pt>
                <c:pt idx="5">
                  <c:v>First Nations SA for Disabled</c:v>
                </c:pt>
                <c:pt idx="6">
                  <c:v>Workers' Compensation </c:v>
                </c:pt>
                <c:pt idx="7">
                  <c:v>Private Disability Insurance</c:v>
                </c:pt>
              </c:strCache>
            </c:strRef>
          </c:cat>
          <c:val>
            <c:numRef>
              <c:f>('CAN &amp; ON input to 2013-14'!$D$55:$D$60,'CAN &amp; ON input to 2013-14'!$D$62:$D$63)</c:f>
              <c:numCache>
                <c:formatCode>#,##0.0</c:formatCode>
                <c:ptCount val="8"/>
                <c:pt idx="0">
                  <c:v>794.81799999999998</c:v>
                </c:pt>
                <c:pt idx="1">
                  <c:v>1732.2</c:v>
                </c:pt>
                <c:pt idx="2">
                  <c:v>308.39999999999998</c:v>
                </c:pt>
                <c:pt idx="3">
                  <c:v>702.44920000000002</c:v>
                </c:pt>
                <c:pt idx="4">
                  <c:v>3294.5</c:v>
                </c:pt>
                <c:pt idx="5">
                  <c:v>65.12</c:v>
                </c:pt>
                <c:pt idx="6">
                  <c:v>2342.3000000000002</c:v>
                </c:pt>
                <c:pt idx="7">
                  <c:v>2412</c:v>
                </c:pt>
              </c:numCache>
            </c:numRef>
          </c:val>
        </c:ser>
        <c:dLbls>
          <c:showCatName val="1"/>
          <c:showPercent val="1"/>
        </c:dLbls>
        <c:firstSliceAng val="0"/>
      </c:pieChart>
    </c:plotArea>
    <c:plotVisOnly val="1"/>
    <c:dispBlanksAs val="zero"/>
  </c:chart>
  <c:userShapes r:id="rId1"/>
</c:chartSpace>
</file>

<file path=xl/charts/chart2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ONTARIO, 2008-09</a:t>
            </a:r>
            <a:endParaRPr lang="en-US"/>
          </a:p>
          <a:p>
            <a:pPr>
              <a:defRPr lang="en-US"/>
            </a:pPr>
            <a:r>
              <a:rPr lang="en-US" sz="1800" b="1" i="0" baseline="0"/>
              <a:t>$11.1 B (revised)</a:t>
            </a:r>
            <a:endParaRPr lang="en-US"/>
          </a:p>
        </c:rich>
      </c:tx>
      <c:layout/>
    </c:title>
    <c:plotArea>
      <c:layout/>
      <c:pieChart>
        <c:varyColors val="1"/>
        <c:ser>
          <c:idx val="1"/>
          <c:order val="0"/>
          <c:tx>
            <c:strRef>
              <c:f>'CAN &amp; ON input to 2013-14'!$C$54</c:f>
              <c:strCache>
                <c:ptCount val="1"/>
                <c:pt idx="0">
                  <c:v>2008-09</c:v>
                </c:pt>
              </c:strCache>
            </c:strRef>
          </c:tx>
          <c:dLbls>
            <c:dLbl>
              <c:idx val="0"/>
              <c:layout>
                <c:manualLayout>
                  <c:x val="9.9026409178277111E-2"/>
                  <c:y val="7.6489386050147727E-3"/>
                </c:manualLayout>
              </c:layout>
              <c:tx>
                <c:rich>
                  <a:bodyPr/>
                  <a:lstStyle/>
                  <a:p>
                    <a:r>
                      <a:rPr lang="en-US"/>
                      <a:t>Disability Tax Measures $0.8 B</a:t>
                    </a:r>
                  </a:p>
                </c:rich>
              </c:tx>
              <c:showVal val="1"/>
              <c:showCatName val="1"/>
            </c:dLbl>
            <c:dLbl>
              <c:idx val="1"/>
              <c:layout>
                <c:manualLayout>
                  <c:x val="-0.11779674513982646"/>
                  <c:y val="0.12403908145440302"/>
                </c:manualLayout>
              </c:layout>
              <c:tx>
                <c:rich>
                  <a:bodyPr/>
                  <a:lstStyle/>
                  <a:p>
                    <a:r>
                      <a:rPr lang="en-US"/>
                      <a:t>CPP Disability</a:t>
                    </a:r>
                  </a:p>
                  <a:p>
                    <a:r>
                      <a:rPr lang="en-US"/>
                      <a:t>$1.7 B</a:t>
                    </a:r>
                  </a:p>
                </c:rich>
              </c:tx>
              <c:showVal val="1"/>
              <c:showCatName val="1"/>
            </c:dLbl>
            <c:dLbl>
              <c:idx val="2"/>
              <c:layout>
                <c:manualLayout>
                  <c:x val="2.9783475669218452E-2"/>
                  <c:y val="4.1220655816491501E-3"/>
                </c:manualLayout>
              </c:layout>
              <c:tx>
                <c:rich>
                  <a:bodyPr/>
                  <a:lstStyle/>
                  <a:p>
                    <a:r>
                      <a:rPr lang="en-US"/>
                      <a:t>EI Sickness</a:t>
                    </a:r>
                  </a:p>
                  <a:p>
                    <a:r>
                      <a:rPr lang="en-US"/>
                      <a:t>$0.3 B</a:t>
                    </a:r>
                  </a:p>
                </c:rich>
              </c:tx>
              <c:showVal val="1"/>
              <c:showCatName val="1"/>
            </c:dLbl>
            <c:dLbl>
              <c:idx val="3"/>
              <c:layout>
                <c:manualLayout>
                  <c:x val="8.6594866043393573E-3"/>
                  <c:y val="3.7840279521472599E-2"/>
                </c:manualLayout>
              </c:layout>
              <c:tx>
                <c:rich>
                  <a:bodyPr/>
                  <a:lstStyle/>
                  <a:p>
                    <a:r>
                      <a:rPr lang="en-US"/>
                      <a:t>Veterans' Disability Pensions</a:t>
                    </a:r>
                  </a:p>
                  <a:p>
                    <a:r>
                      <a:rPr lang="en-US"/>
                      <a:t>$0.6</a:t>
                    </a:r>
                    <a:r>
                      <a:rPr lang="en-US" baseline="0"/>
                      <a:t> B</a:t>
                    </a:r>
                    <a:endParaRPr lang="en-US"/>
                  </a:p>
                </c:rich>
              </c:tx>
              <c:showVal val="1"/>
              <c:showCatName val="1"/>
            </c:dLbl>
            <c:dLbl>
              <c:idx val="4"/>
              <c:layout>
                <c:manualLayout>
                  <c:x val="-8.3891855612339764E-2"/>
                  <c:y val="-0.18918743042199554"/>
                </c:manualLayout>
              </c:layout>
              <c:tx>
                <c:rich>
                  <a:bodyPr/>
                  <a:lstStyle/>
                  <a:p>
                    <a:r>
                      <a:rPr lang="en-US"/>
                      <a:t>ODSP</a:t>
                    </a:r>
                  </a:p>
                  <a:p>
                    <a:r>
                      <a:rPr lang="en-US"/>
                      <a:t>$3 B</a:t>
                    </a:r>
                  </a:p>
                </c:rich>
              </c:tx>
              <c:showVal val="1"/>
              <c:showCatName val="1"/>
            </c:dLbl>
            <c:dLbl>
              <c:idx val="5"/>
              <c:layout>
                <c:manualLayout>
                  <c:x val="-2.8564211104711308E-2"/>
                  <c:y val="-6.2982482927498515E-3"/>
                </c:manualLayout>
              </c:layout>
              <c:tx>
                <c:rich>
                  <a:bodyPr/>
                  <a:lstStyle/>
                  <a:p>
                    <a:r>
                      <a:rPr lang="en-US"/>
                      <a:t>First Nations SA for Disabled</a:t>
                    </a:r>
                  </a:p>
                  <a:p>
                    <a:r>
                      <a:rPr lang="en-US"/>
                      <a:t>&lt;$0.1 B </a:t>
                    </a:r>
                  </a:p>
                </c:rich>
              </c:tx>
              <c:showVal val="1"/>
              <c:showCatName val="1"/>
            </c:dLbl>
            <c:dLbl>
              <c:idx val="6"/>
              <c:layout>
                <c:manualLayout>
                  <c:x val="0.21048009752273142"/>
                  <c:y val="-9.9250819223037245E-2"/>
                </c:manualLayout>
              </c:layout>
              <c:tx>
                <c:rich>
                  <a:bodyPr/>
                  <a:lstStyle/>
                  <a:p>
                    <a:r>
                      <a:rPr lang="en-US"/>
                      <a:t>Workers' Compensation $2.3 B</a:t>
                    </a:r>
                  </a:p>
                </c:rich>
              </c:tx>
              <c:showVal val="1"/>
              <c:showCatName val="1"/>
            </c:dLbl>
            <c:dLbl>
              <c:idx val="7"/>
              <c:layout>
                <c:manualLayout>
                  <c:x val="0.13554724350557557"/>
                  <c:y val="0.17241284079535846"/>
                </c:manualLayout>
              </c:layout>
              <c:tx>
                <c:rich>
                  <a:bodyPr/>
                  <a:lstStyle/>
                  <a:p>
                    <a:r>
                      <a:rPr lang="en-US"/>
                      <a:t>Private Disability Insurance</a:t>
                    </a:r>
                  </a:p>
                  <a:p>
                    <a:r>
                      <a:rPr lang="en-US"/>
                      <a:t>$2.4 B </a:t>
                    </a:r>
                  </a:p>
                </c:rich>
              </c:tx>
              <c:showVal val="1"/>
              <c:showCatName val="1"/>
            </c:dLbl>
            <c:txPr>
              <a:bodyPr/>
              <a:lstStyle/>
              <a:p>
                <a:pPr>
                  <a:defRPr lang="en-US" sz="1200" b="1"/>
                </a:pPr>
                <a:endParaRPr lang="en-US"/>
              </a:p>
            </c:txPr>
            <c:showVal val="1"/>
            <c:showCatName val="1"/>
            <c:showLeaderLines val="1"/>
          </c:dLbls>
          <c:cat>
            <c:strRef>
              <c:f>('CAN &amp; ON input to 2013-14'!$A$55:$A$60,'CAN &amp; ON input to 2013-14'!$A$62:$A$63)</c:f>
              <c:strCache>
                <c:ptCount val="8"/>
                <c:pt idx="0">
                  <c:v>Disability Tax Measures</c:v>
                </c:pt>
                <c:pt idx="1">
                  <c:v>CPP Disability</c:v>
                </c:pt>
                <c:pt idx="2">
                  <c:v>EI Sickness</c:v>
                </c:pt>
                <c:pt idx="3">
                  <c:v>Veterans' Disability Pensions &amp; Awards</c:v>
                </c:pt>
                <c:pt idx="4">
                  <c:v>ODSP</c:v>
                </c:pt>
                <c:pt idx="5">
                  <c:v>First Nations SA for Disabled</c:v>
                </c:pt>
                <c:pt idx="6">
                  <c:v>Workers' Compensation </c:v>
                </c:pt>
                <c:pt idx="7">
                  <c:v>Private Disability Insurance</c:v>
                </c:pt>
              </c:strCache>
            </c:strRef>
          </c:cat>
          <c:val>
            <c:numRef>
              <c:f>('CAN &amp; ON input to 2013-14'!$C$55:$C$60,'CAN &amp; ON input to 2013-14'!$C$62:$C$63)</c:f>
              <c:numCache>
                <c:formatCode>#,##0.0</c:formatCode>
                <c:ptCount val="8"/>
                <c:pt idx="0">
                  <c:v>782.30100000000004</c:v>
                </c:pt>
                <c:pt idx="1">
                  <c:v>1656.8</c:v>
                </c:pt>
                <c:pt idx="2">
                  <c:v>289.5</c:v>
                </c:pt>
                <c:pt idx="3">
                  <c:v>621.20000000000005</c:v>
                </c:pt>
                <c:pt idx="4">
                  <c:v>3025</c:v>
                </c:pt>
                <c:pt idx="5">
                  <c:v>61.655000000000001</c:v>
                </c:pt>
                <c:pt idx="6">
                  <c:v>2282.1</c:v>
                </c:pt>
                <c:pt idx="7">
                  <c:v>2385</c:v>
                </c:pt>
              </c:numCache>
            </c:numRef>
          </c:val>
        </c:ser>
        <c:dLbls>
          <c:showCatName val="1"/>
          <c:showPercent val="1"/>
        </c:dLbls>
        <c:firstSliceAng val="0"/>
      </c:pieChart>
    </c:plotArea>
    <c:plotVisOnly val="1"/>
    <c:dispBlanksAs val="zero"/>
  </c:chart>
  <c:userShapes r:id="rId1"/>
</c:chartSpace>
</file>

<file path=xl/charts/chart2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BENEFIT EXPENDITURES FOR PERSONS WITH DISABILITIES </a:t>
            </a:r>
            <a:endParaRPr lang="en-US"/>
          </a:p>
          <a:p>
            <a:pPr>
              <a:defRPr lang="en-US"/>
            </a:pPr>
            <a:r>
              <a:rPr lang="en-US" sz="1800" b="1" i="0" baseline="0"/>
              <a:t>ONTARIO 2005</a:t>
            </a:r>
            <a:br>
              <a:rPr lang="en-US" sz="1800" b="1" i="0" baseline="0"/>
            </a:br>
            <a:r>
              <a:rPr lang="en-US" sz="1800" b="1" i="0" baseline="0"/>
              <a:t>$9.4 B </a:t>
            </a:r>
          </a:p>
        </c:rich>
      </c:tx>
      <c:layout/>
    </c:title>
    <c:plotArea>
      <c:layout/>
      <c:pieChart>
        <c:varyColors val="1"/>
        <c:ser>
          <c:idx val="0"/>
          <c:order val="0"/>
          <c:tx>
            <c:strRef>
              <c:f>'CAN &amp; ON input to 2013-14'!$B$54</c:f>
              <c:strCache>
                <c:ptCount val="1"/>
                <c:pt idx="0">
                  <c:v>2005-06</c:v>
                </c:pt>
              </c:strCache>
            </c:strRef>
          </c:tx>
          <c:dLbls>
            <c:dLbl>
              <c:idx val="0"/>
              <c:layout>
                <c:manualLayout>
                  <c:x val="9.3445911326506814E-2"/>
                  <c:y val="1.3732123986704509E-2"/>
                </c:manualLayout>
              </c:layout>
              <c:tx>
                <c:rich>
                  <a:bodyPr/>
                  <a:lstStyle/>
                  <a:p>
                    <a:r>
                      <a:rPr lang="en-US" sz="1400"/>
                      <a:t>D</a:t>
                    </a:r>
                    <a:r>
                      <a:rPr lang="en-US"/>
                      <a:t>isability Tax Measures $0.7</a:t>
                    </a:r>
                    <a:r>
                      <a:rPr lang="en-US" baseline="0"/>
                      <a:t> B</a:t>
                    </a:r>
                    <a:endParaRPr lang="en-US"/>
                  </a:p>
                </c:rich>
              </c:tx>
              <c:showVal val="1"/>
              <c:showCatName val="1"/>
            </c:dLbl>
            <c:dLbl>
              <c:idx val="1"/>
              <c:layout>
                <c:manualLayout>
                  <c:x val="-0.12689357664230211"/>
                  <c:y val="0.12505598777998256"/>
                </c:manualLayout>
              </c:layout>
              <c:tx>
                <c:rich>
                  <a:bodyPr/>
                  <a:lstStyle/>
                  <a:p>
                    <a:r>
                      <a:rPr lang="en-US" sz="1400"/>
                      <a:t>C</a:t>
                    </a:r>
                    <a:r>
                      <a:rPr lang="en-US"/>
                      <a:t>PP Disability</a:t>
                    </a:r>
                  </a:p>
                  <a:p>
                    <a:r>
                      <a:rPr lang="en-US"/>
                      <a:t>$1.5 B</a:t>
                    </a:r>
                  </a:p>
                </c:rich>
              </c:tx>
              <c:showVal val="1"/>
              <c:showCatName val="1"/>
            </c:dLbl>
            <c:dLbl>
              <c:idx val="2"/>
              <c:layout>
                <c:manualLayout>
                  <c:x val="3.389624634768032E-2"/>
                  <c:y val="4.7628102103934268E-3"/>
                </c:manualLayout>
              </c:layout>
              <c:tx>
                <c:rich>
                  <a:bodyPr/>
                  <a:lstStyle/>
                  <a:p>
                    <a:r>
                      <a:rPr lang="en-US" sz="1400"/>
                      <a:t>E</a:t>
                    </a:r>
                    <a:r>
                      <a:rPr lang="en-US"/>
                      <a:t>I Sickness</a:t>
                    </a:r>
                  </a:p>
                  <a:p>
                    <a:r>
                      <a:rPr lang="en-US"/>
                      <a:t>$0.3 B</a:t>
                    </a:r>
                  </a:p>
                </c:rich>
              </c:tx>
              <c:showVal val="1"/>
              <c:showCatName val="1"/>
            </c:dLbl>
            <c:dLbl>
              <c:idx val="3"/>
              <c:layout>
                <c:manualLayout>
                  <c:x val="3.0504547349759072E-2"/>
                  <c:y val="5.4342667751451496E-2"/>
                </c:manualLayout>
              </c:layout>
              <c:tx>
                <c:rich>
                  <a:bodyPr/>
                  <a:lstStyle/>
                  <a:p>
                    <a:r>
                      <a:rPr lang="en-US" sz="1400"/>
                      <a:t>V</a:t>
                    </a:r>
                    <a:r>
                      <a:rPr lang="en-US"/>
                      <a:t>eterans' Disability Pensions</a:t>
                    </a:r>
                  </a:p>
                  <a:p>
                    <a:r>
                      <a:rPr lang="en-US"/>
                      <a:t>$0.6</a:t>
                    </a:r>
                    <a:r>
                      <a:rPr lang="en-US" baseline="0"/>
                      <a:t> B</a:t>
                    </a:r>
                    <a:endParaRPr lang="en-US"/>
                  </a:p>
                </c:rich>
              </c:tx>
              <c:showVal val="1"/>
              <c:showCatName val="1"/>
            </c:dLbl>
            <c:dLbl>
              <c:idx val="4"/>
              <c:layout>
                <c:manualLayout>
                  <c:x val="-7.4009243823180484E-2"/>
                  <c:y val="-0.20272496612163959"/>
                </c:manualLayout>
              </c:layout>
              <c:tx>
                <c:rich>
                  <a:bodyPr/>
                  <a:lstStyle/>
                  <a:p>
                    <a:r>
                      <a:rPr lang="en-US" sz="1400"/>
                      <a:t>O</a:t>
                    </a:r>
                    <a:r>
                      <a:rPr lang="en-US"/>
                      <a:t>DSP</a:t>
                    </a:r>
                  </a:p>
                  <a:p>
                    <a:r>
                      <a:rPr lang="en-US"/>
                      <a:t>$2.4</a:t>
                    </a:r>
                    <a:r>
                      <a:rPr lang="en-US" baseline="0"/>
                      <a:t> B</a:t>
                    </a:r>
                    <a:endParaRPr lang="en-US"/>
                  </a:p>
                </c:rich>
              </c:tx>
              <c:showVal val="1"/>
              <c:showCatName val="1"/>
            </c:dLbl>
            <c:dLbl>
              <c:idx val="5"/>
              <c:layout>
                <c:manualLayout>
                  <c:x val="-3.353738152217229E-2"/>
                  <c:y val="-9.5400637602012037E-3"/>
                </c:manualLayout>
              </c:layout>
              <c:tx>
                <c:rich>
                  <a:bodyPr/>
                  <a:lstStyle/>
                  <a:p>
                    <a:r>
                      <a:rPr lang="en-US" sz="1400"/>
                      <a:t>F</a:t>
                    </a:r>
                    <a:r>
                      <a:rPr lang="en-US"/>
                      <a:t>irst Nations SA for Disabled </a:t>
                    </a:r>
                  </a:p>
                  <a:p>
                    <a:r>
                      <a:rPr lang="en-US"/>
                      <a:t>&lt;$0.1</a:t>
                    </a:r>
                    <a:r>
                      <a:rPr lang="en-US" baseline="0"/>
                      <a:t> B</a:t>
                    </a:r>
                    <a:endParaRPr lang="en-US"/>
                  </a:p>
                </c:rich>
              </c:tx>
              <c:showVal val="1"/>
              <c:showCatName val="1"/>
            </c:dLbl>
            <c:dLbl>
              <c:idx val="6"/>
              <c:layout>
                <c:manualLayout>
                  <c:x val="0.17566317966220621"/>
                  <c:y val="-9.0046285347692601E-2"/>
                </c:manualLayout>
              </c:layout>
              <c:tx>
                <c:rich>
                  <a:bodyPr/>
                  <a:lstStyle/>
                  <a:p>
                    <a:r>
                      <a:rPr lang="en-US" sz="1400"/>
                      <a:t>W</a:t>
                    </a:r>
                    <a:r>
                      <a:rPr lang="en-US"/>
                      <a:t>orkers' Compensation</a:t>
                    </a:r>
                  </a:p>
                  <a:p>
                    <a:r>
                      <a:rPr lang="en-US"/>
                      <a:t>$2.0 B</a:t>
                    </a:r>
                  </a:p>
                </c:rich>
              </c:tx>
              <c:showVal val="1"/>
              <c:showCatName val="1"/>
            </c:dLbl>
            <c:dLbl>
              <c:idx val="7"/>
              <c:layout>
                <c:manualLayout>
                  <c:x val="0.14228264304289734"/>
                  <c:y val="0.17697884066647623"/>
                </c:manualLayout>
              </c:layout>
              <c:tx>
                <c:rich>
                  <a:bodyPr/>
                  <a:lstStyle/>
                  <a:p>
                    <a:r>
                      <a:rPr lang="en-US" sz="1400"/>
                      <a:t>P</a:t>
                    </a:r>
                    <a:r>
                      <a:rPr lang="en-US"/>
                      <a:t>rivate Disability Insurance</a:t>
                    </a:r>
                  </a:p>
                  <a:p>
                    <a:r>
                      <a:rPr lang="en-US"/>
                      <a:t>$1.9 B </a:t>
                    </a:r>
                  </a:p>
                </c:rich>
              </c:tx>
              <c:showVal val="1"/>
              <c:showCatName val="1"/>
            </c:dLbl>
            <c:txPr>
              <a:bodyPr/>
              <a:lstStyle/>
              <a:p>
                <a:pPr>
                  <a:defRPr lang="en-US" sz="1400" b="1"/>
                </a:pPr>
                <a:endParaRPr lang="en-US"/>
              </a:p>
            </c:txPr>
            <c:showVal val="1"/>
            <c:showCatName val="1"/>
            <c:showLeaderLines val="1"/>
          </c:dLbls>
          <c:cat>
            <c:strRef>
              <c:f>('CAN &amp; ON input to 2013-14'!$A$55:$A$60,'CAN &amp; ON input to 2013-14'!$A$62:$A$63)</c:f>
              <c:strCache>
                <c:ptCount val="8"/>
                <c:pt idx="0">
                  <c:v>Disability Tax Measures</c:v>
                </c:pt>
                <c:pt idx="1">
                  <c:v>CPP Disability</c:v>
                </c:pt>
                <c:pt idx="2">
                  <c:v>EI Sickness</c:v>
                </c:pt>
                <c:pt idx="3">
                  <c:v>Veterans' Disability Pensions &amp; Awards</c:v>
                </c:pt>
                <c:pt idx="4">
                  <c:v>ODSP</c:v>
                </c:pt>
                <c:pt idx="5">
                  <c:v>First Nations SA for Disabled</c:v>
                </c:pt>
                <c:pt idx="6">
                  <c:v>Workers' Compensation </c:v>
                </c:pt>
                <c:pt idx="7">
                  <c:v>Private Disability Insurance</c:v>
                </c:pt>
              </c:strCache>
            </c:strRef>
          </c:cat>
          <c:val>
            <c:numRef>
              <c:f>('CAN &amp; ON input to 2013-14'!$B$55:$B$60,'CAN &amp; ON input to 2013-14'!$B$62:$B$63)</c:f>
              <c:numCache>
                <c:formatCode>#,##0.0</c:formatCode>
                <c:ptCount val="8"/>
                <c:pt idx="0">
                  <c:v>665.19</c:v>
                </c:pt>
                <c:pt idx="1">
                  <c:v>1524.6</c:v>
                </c:pt>
                <c:pt idx="2">
                  <c:v>259.3</c:v>
                </c:pt>
                <c:pt idx="3">
                  <c:v>564.69600000000003</c:v>
                </c:pt>
                <c:pt idx="4">
                  <c:v>2432.5</c:v>
                </c:pt>
                <c:pt idx="5">
                  <c:v>56.760000000000005</c:v>
                </c:pt>
                <c:pt idx="6">
                  <c:v>2028.5</c:v>
                </c:pt>
                <c:pt idx="7">
                  <c:v>1907</c:v>
                </c:pt>
              </c:numCache>
            </c:numRef>
          </c:val>
        </c:ser>
        <c:dLbls>
          <c:showCatName val="1"/>
          <c:showPercent val="1"/>
        </c:dLbls>
        <c:firstSliceAng val="0"/>
      </c:pieChart>
    </c:plotArea>
    <c:plotVisOnly val="1"/>
    <c:dispBlanksAs val="zero"/>
  </c:chart>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CA"/>
              <a:t>INCOME</a:t>
            </a:r>
            <a:r>
              <a:rPr lang="en-CA" baseline="0"/>
              <a:t> SUPPORT FOR PERSONS WITH DISABILITIES BY PROGRAM:</a:t>
            </a:r>
          </a:p>
          <a:p>
            <a:pPr>
              <a:defRPr/>
            </a:pPr>
            <a:r>
              <a:rPr lang="en-CA" baseline="0"/>
              <a:t>PERCENTAGE CHANGE IN EXPENDITURES  FROM 2005 TO 2013</a:t>
            </a:r>
          </a:p>
          <a:p>
            <a:pPr>
              <a:defRPr/>
            </a:pPr>
            <a:r>
              <a:rPr lang="en-CA" baseline="0"/>
              <a:t>ONTARIO</a:t>
            </a:r>
            <a:endParaRPr lang="en-CA"/>
          </a:p>
        </c:rich>
      </c:tx>
    </c:title>
    <c:plotArea>
      <c:layout>
        <c:manualLayout>
          <c:layoutTarget val="inner"/>
          <c:xMode val="edge"/>
          <c:yMode val="edge"/>
          <c:x val="8.4456080573001538E-2"/>
          <c:y val="0.21387922767635006"/>
          <c:w val="0.82225763652652772"/>
          <c:h val="0.61529058731346054"/>
        </c:manualLayout>
      </c:layout>
      <c:barChart>
        <c:barDir val="col"/>
        <c:grouping val="clustered"/>
        <c:ser>
          <c:idx val="4"/>
          <c:order val="0"/>
          <c:tx>
            <c:strRef>
              <c:f>'CAN &amp; ON input to 2013-14'!$N$54</c:f>
              <c:strCache>
                <c:ptCount val="1"/>
                <c:pt idx="0">
                  <c:v>2005 to 2013</c:v>
                </c:pt>
              </c:strCache>
            </c:strRef>
          </c:tx>
          <c:spPr>
            <a:solidFill>
              <a:schemeClr val="accent6">
                <a:lumMod val="75000"/>
              </a:schemeClr>
            </a:solidFill>
          </c:spPr>
          <c:dLbls>
            <c:dLbl>
              <c:idx val="0"/>
              <c:layout>
                <c:manualLayout>
                  <c:x val="0"/>
                  <c:y val="-2.4212167217742372E-2"/>
                </c:manualLayout>
              </c:layout>
              <c:showVal val="1"/>
            </c:dLbl>
            <c:txPr>
              <a:bodyPr/>
              <a:lstStyle/>
              <a:p>
                <a:pPr>
                  <a:defRPr sz="1200" b="1"/>
                </a:pPr>
                <a:endParaRPr lang="en-US"/>
              </a:p>
            </c:txPr>
            <c:showVal val="1"/>
          </c:dLbls>
          <c:cat>
            <c:strRef>
              <c:f>('CAN &amp; ON input to 2013-14'!$A$55:$A$59,'CAN &amp; ON input to 2013-14'!$A$62:$A$63)</c:f>
              <c:strCache>
                <c:ptCount val="7"/>
                <c:pt idx="0">
                  <c:v>Disability Tax Measures</c:v>
                </c:pt>
                <c:pt idx="1">
                  <c:v>CPP Disability</c:v>
                </c:pt>
                <c:pt idx="2">
                  <c:v>EI Sickness</c:v>
                </c:pt>
                <c:pt idx="3">
                  <c:v>Veterans' Disability Pensions &amp; Awards</c:v>
                </c:pt>
                <c:pt idx="4">
                  <c:v>ODSP</c:v>
                </c:pt>
                <c:pt idx="5">
                  <c:v>Workers' Compensation </c:v>
                </c:pt>
                <c:pt idx="6">
                  <c:v>Private Disability Insurance</c:v>
                </c:pt>
              </c:strCache>
            </c:strRef>
          </c:cat>
          <c:val>
            <c:numRef>
              <c:f>('CAN &amp; ON input to 2013-14'!$N$55:$N$59,'CAN &amp; ON input to 2013-14'!$N$62:$N$63)</c:f>
              <c:numCache>
                <c:formatCode>0.0%</c:formatCode>
                <c:ptCount val="7"/>
                <c:pt idx="0">
                  <c:v>0.4632620003307325</c:v>
                </c:pt>
                <c:pt idx="1">
                  <c:v>0.29863570772661696</c:v>
                </c:pt>
                <c:pt idx="2">
                  <c:v>0.422676436559969</c:v>
                </c:pt>
                <c:pt idx="3">
                  <c:v>0.20401065351976982</c:v>
                </c:pt>
                <c:pt idx="4">
                  <c:v>0.7125179856115107</c:v>
                </c:pt>
                <c:pt idx="5">
                  <c:v>-6.9016514666009367E-3</c:v>
                </c:pt>
                <c:pt idx="6">
                  <c:v>0.49973780807551127</c:v>
                </c:pt>
              </c:numCache>
            </c:numRef>
          </c:val>
        </c:ser>
        <c:dLbls/>
        <c:gapWidth val="50"/>
        <c:axId val="83929728"/>
        <c:axId val="83939712"/>
      </c:barChart>
      <c:catAx>
        <c:axId val="83929728"/>
        <c:scaling>
          <c:orientation val="minMax"/>
        </c:scaling>
        <c:axPos val="b"/>
        <c:majorTickMark val="none"/>
        <c:tickLblPos val="nextTo"/>
        <c:txPr>
          <a:bodyPr/>
          <a:lstStyle/>
          <a:p>
            <a:pPr>
              <a:defRPr sz="1200" b="1"/>
            </a:pPr>
            <a:endParaRPr lang="en-US"/>
          </a:p>
        </c:txPr>
        <c:crossAx val="83939712"/>
        <c:crosses val="autoZero"/>
        <c:auto val="1"/>
        <c:lblAlgn val="ctr"/>
        <c:lblOffset val="200"/>
      </c:catAx>
      <c:valAx>
        <c:axId val="83939712"/>
        <c:scaling>
          <c:orientation val="minMax"/>
          <c:min val="0"/>
        </c:scaling>
        <c:axPos val="l"/>
        <c:majorGridlines/>
        <c:numFmt formatCode="0%" sourceLinked="0"/>
        <c:majorTickMark val="none"/>
        <c:tickLblPos val="nextTo"/>
        <c:crossAx val="83929728"/>
        <c:crosses val="autoZero"/>
        <c:crossBetween val="between"/>
      </c:valAx>
    </c:plotArea>
    <c:plotVisOnly val="1"/>
    <c:dispBlanksAs val="gap"/>
  </c:chart>
</c:chartSpace>
</file>

<file path=xl/charts/chart2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Estimated Expenditures from 2005-06 to 2010-11 </a:t>
            </a:r>
          </a:p>
          <a:p>
            <a:pPr>
              <a:defRPr lang="en-US"/>
            </a:pPr>
            <a:r>
              <a:rPr lang="en-US" sz="1800" b="1" i="0" baseline="0"/>
              <a:t>ONTARIO</a:t>
            </a:r>
            <a:endParaRPr lang="en-US"/>
          </a:p>
        </c:rich>
      </c:tx>
      <c:layout/>
    </c:title>
    <c:plotArea>
      <c:layout/>
      <c:barChart>
        <c:barDir val="col"/>
        <c:grouping val="clustered"/>
        <c:ser>
          <c:idx val="5"/>
          <c:order val="0"/>
          <c:spPr>
            <a:solidFill>
              <a:schemeClr val="accent3"/>
            </a:solidFill>
          </c:spPr>
          <c:dLbls>
            <c:dLbl>
              <c:idx val="0"/>
              <c:layout>
                <c:manualLayout>
                  <c:x val="0"/>
                  <c:y val="4.0314375947745262E-3"/>
                </c:manualLayout>
              </c:layout>
              <c:showVal val="1"/>
            </c:dLbl>
            <c:txPr>
              <a:bodyPr/>
              <a:lstStyle/>
              <a:p>
                <a:pPr>
                  <a:defRPr lang="en-US" sz="1200" b="1" i="0" baseline="0"/>
                </a:pPr>
                <a:endParaRPr lang="en-US"/>
              </a:p>
            </c:txPr>
            <c:showVal val="1"/>
          </c:dLbls>
          <c:cat>
            <c:strRef>
              <c:f>'CAN &amp; ON input to 2013-14'!$A$55:$A$63</c:f>
              <c:strCache>
                <c:ptCount val="9"/>
                <c:pt idx="0">
                  <c:v>Disability Tax Measures</c:v>
                </c:pt>
                <c:pt idx="1">
                  <c:v>CPP Disability</c:v>
                </c:pt>
                <c:pt idx="2">
                  <c:v>EI Sickness</c:v>
                </c:pt>
                <c:pt idx="3">
                  <c:v>Veterans' Disability Pensions &amp; Awards</c:v>
                </c:pt>
                <c:pt idx="4">
                  <c:v>ODSP</c:v>
                </c:pt>
                <c:pt idx="5">
                  <c:v>First Nations SA for Disabled</c:v>
                </c:pt>
                <c:pt idx="6">
                  <c:v>ODSP &amp; FN SA</c:v>
                </c:pt>
                <c:pt idx="7">
                  <c:v>Workers' Compensation </c:v>
                </c:pt>
                <c:pt idx="8">
                  <c:v>Private Disability Insurance</c:v>
                </c:pt>
              </c:strCache>
            </c:strRef>
          </c:cat>
          <c:val>
            <c:numRef>
              <c:f>'CAN &amp; ON input to 2013-14'!$G$55:$G$63</c:f>
              <c:numCache>
                <c:formatCode>0.0%</c:formatCode>
                <c:ptCount val="9"/>
                <c:pt idx="0">
                  <c:v>0.2776427787549422</c:v>
                </c:pt>
                <c:pt idx="1">
                  <c:v>0.19893742621015362</c:v>
                </c:pt>
                <c:pt idx="2">
                  <c:v>0.18974161203239487</c:v>
                </c:pt>
                <c:pt idx="3">
                  <c:v>0.25394902744131354</c:v>
                </c:pt>
                <c:pt idx="4">
                  <c:v>0.45356628982528269</c:v>
                </c:pt>
                <c:pt idx="5">
                  <c:v>0.15697674418604643</c:v>
                </c:pt>
                <c:pt idx="6">
                  <c:v>0.44680346769722729</c:v>
                </c:pt>
                <c:pt idx="7">
                  <c:v>0.11589844712841997</c:v>
                </c:pt>
                <c:pt idx="8">
                  <c:v>0.28945988463555322</c:v>
                </c:pt>
              </c:numCache>
            </c:numRef>
          </c:val>
        </c:ser>
        <c:dLbls/>
        <c:gapWidth val="50"/>
        <c:axId val="84071168"/>
        <c:axId val="84072704"/>
      </c:barChart>
      <c:catAx>
        <c:axId val="84071168"/>
        <c:scaling>
          <c:orientation val="minMax"/>
        </c:scaling>
        <c:axPos val="b"/>
        <c:majorTickMark val="none"/>
        <c:tickLblPos val="nextTo"/>
        <c:txPr>
          <a:bodyPr/>
          <a:lstStyle/>
          <a:p>
            <a:pPr>
              <a:defRPr lang="en-US" sz="1100" b="1" i="0" baseline="0"/>
            </a:pPr>
            <a:endParaRPr lang="en-US"/>
          </a:p>
        </c:txPr>
        <c:crossAx val="84072704"/>
        <c:crosses val="autoZero"/>
        <c:auto val="1"/>
        <c:lblAlgn val="ctr"/>
        <c:lblOffset val="100"/>
      </c:catAx>
      <c:valAx>
        <c:axId val="84072704"/>
        <c:scaling>
          <c:orientation val="minMax"/>
        </c:scaling>
        <c:axPos val="l"/>
        <c:majorGridlines/>
        <c:numFmt formatCode="0%" sourceLinked="0"/>
        <c:majorTickMark val="none"/>
        <c:tickLblPos val="nextTo"/>
        <c:txPr>
          <a:bodyPr/>
          <a:lstStyle/>
          <a:p>
            <a:pPr>
              <a:defRPr lang="en-US"/>
            </a:pPr>
            <a:endParaRPr lang="en-US"/>
          </a:p>
        </c:txPr>
        <c:crossAx val="84071168"/>
        <c:crosses val="autoZero"/>
        <c:crossBetween val="between"/>
      </c:valAx>
    </c:plotArea>
    <c:plotVisOnly val="1"/>
    <c:dispBlanksAs val="gap"/>
  </c:chart>
</c:chartSpace>
</file>

<file path=xl/charts/chart2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Estimated Expenditures from 2005-06 to 2009-10 </a:t>
            </a:r>
            <a:endParaRPr lang="en-US"/>
          </a:p>
          <a:p>
            <a:pPr>
              <a:defRPr lang="en-US"/>
            </a:pPr>
            <a:r>
              <a:rPr lang="en-US" sz="1800" b="1" i="0" baseline="0"/>
              <a:t>ONTARIO</a:t>
            </a:r>
          </a:p>
        </c:rich>
      </c:tx>
    </c:title>
    <c:plotArea>
      <c:layout>
        <c:manualLayout>
          <c:layoutTarget val="inner"/>
          <c:xMode val="edge"/>
          <c:yMode val="edge"/>
          <c:x val="5.8046788874314567E-2"/>
          <c:y val="0.17955531021277421"/>
          <c:w val="0.92250294501945729"/>
          <c:h val="0.6572589208254227"/>
        </c:manualLayout>
      </c:layout>
      <c:barChart>
        <c:barDir val="col"/>
        <c:grouping val="clustered"/>
        <c:ser>
          <c:idx val="3"/>
          <c:order val="0"/>
          <c:spPr>
            <a:solidFill>
              <a:schemeClr val="accent1"/>
            </a:solidFill>
          </c:spPr>
          <c:dLbls>
            <c:dLbl>
              <c:idx val="1"/>
              <c:layout>
                <c:manualLayout>
                  <c:x val="0"/>
                  <c:y val="-1.2094312784323318E-2"/>
                </c:manualLayout>
              </c:layout>
              <c:showVal val="1"/>
            </c:dLbl>
            <c:dLbl>
              <c:idx val="2"/>
              <c:layout>
                <c:manualLayout>
                  <c:x val="0"/>
                  <c:y val="-8.0628751895490246E-3"/>
                </c:manualLayout>
              </c:layout>
              <c:showVal val="1"/>
            </c:dLbl>
            <c:dLbl>
              <c:idx val="5"/>
              <c:layout>
                <c:manualLayout>
                  <c:x val="0"/>
                  <c:y val="-6.0471563921617524E-3"/>
                </c:manualLayout>
              </c:layout>
              <c:showVal val="1"/>
            </c:dLbl>
            <c:txPr>
              <a:bodyPr/>
              <a:lstStyle/>
              <a:p>
                <a:pPr>
                  <a:defRPr lang="en-US" sz="1200" b="1" i="0" baseline="0"/>
                </a:pPr>
                <a:endParaRPr lang="en-US"/>
              </a:p>
            </c:txPr>
            <c:showVal val="1"/>
          </c:dLbls>
          <c:cat>
            <c:strRef>
              <c:f>'CAN &amp; ON input to 2013-14'!$A$55:$A$63</c:f>
              <c:strCache>
                <c:ptCount val="9"/>
                <c:pt idx="0">
                  <c:v>Disability Tax Measures</c:v>
                </c:pt>
                <c:pt idx="1">
                  <c:v>CPP Disability</c:v>
                </c:pt>
                <c:pt idx="2">
                  <c:v>EI Sickness</c:v>
                </c:pt>
                <c:pt idx="3">
                  <c:v>Veterans' Disability Pensions &amp; Awards</c:v>
                </c:pt>
                <c:pt idx="4">
                  <c:v>ODSP</c:v>
                </c:pt>
                <c:pt idx="5">
                  <c:v>First Nations SA for Disabled</c:v>
                </c:pt>
                <c:pt idx="6">
                  <c:v>ODSP &amp; FN SA</c:v>
                </c:pt>
                <c:pt idx="7">
                  <c:v>Workers' Compensation </c:v>
                </c:pt>
                <c:pt idx="8">
                  <c:v>Private Disability Insurance</c:v>
                </c:pt>
              </c:strCache>
            </c:strRef>
          </c:cat>
          <c:val>
            <c:numRef>
              <c:f>'CAN &amp; ON input to 2013-14'!$E$55:$E$63</c:f>
              <c:numCache>
                <c:formatCode>0.0%</c:formatCode>
                <c:ptCount val="9"/>
                <c:pt idx="0">
                  <c:v>0.19487364512394942</c:v>
                </c:pt>
                <c:pt idx="1">
                  <c:v>0.13616686343959081</c:v>
                </c:pt>
                <c:pt idx="2">
                  <c:v>0.18935595834940211</c:v>
                </c:pt>
                <c:pt idx="3">
                  <c:v>0.24394222732231144</c:v>
                </c:pt>
                <c:pt idx="4">
                  <c:v>0.35436793422404933</c:v>
                </c:pt>
                <c:pt idx="5">
                  <c:v>0.14728682170542634</c:v>
                </c:pt>
                <c:pt idx="6">
                  <c:v>0.34964607955778004</c:v>
                </c:pt>
                <c:pt idx="7">
                  <c:v>0.15469558787281251</c:v>
                </c:pt>
                <c:pt idx="8">
                  <c:v>0.264813843733613</c:v>
                </c:pt>
              </c:numCache>
            </c:numRef>
          </c:val>
        </c:ser>
        <c:dLbls/>
        <c:gapWidth val="50"/>
        <c:axId val="84117760"/>
        <c:axId val="84123648"/>
      </c:barChart>
      <c:catAx>
        <c:axId val="84117760"/>
        <c:scaling>
          <c:orientation val="minMax"/>
        </c:scaling>
        <c:axPos val="b"/>
        <c:majorTickMark val="none"/>
        <c:tickLblPos val="nextTo"/>
        <c:txPr>
          <a:bodyPr/>
          <a:lstStyle/>
          <a:p>
            <a:pPr>
              <a:defRPr lang="en-US" sz="1100" b="1"/>
            </a:pPr>
            <a:endParaRPr lang="en-US"/>
          </a:p>
        </c:txPr>
        <c:crossAx val="84123648"/>
        <c:crosses val="autoZero"/>
        <c:auto val="1"/>
        <c:lblAlgn val="ctr"/>
        <c:lblOffset val="100"/>
      </c:catAx>
      <c:valAx>
        <c:axId val="84123648"/>
        <c:scaling>
          <c:orientation val="minMax"/>
        </c:scaling>
        <c:axPos val="l"/>
        <c:majorGridlines/>
        <c:numFmt formatCode="0%" sourceLinked="0"/>
        <c:majorTickMark val="none"/>
        <c:tickLblPos val="nextTo"/>
        <c:txPr>
          <a:bodyPr/>
          <a:lstStyle/>
          <a:p>
            <a:pPr>
              <a:defRPr lang="en-US"/>
            </a:pPr>
            <a:endParaRPr lang="en-US"/>
          </a:p>
        </c:txPr>
        <c:crossAx val="84117760"/>
        <c:crosses val="autoZero"/>
        <c:crossBetween val="between"/>
      </c:valAx>
      <c:spPr>
        <a:noFill/>
        <a:ln w="25400">
          <a:noFill/>
        </a:ln>
      </c:spPr>
    </c:plotArea>
    <c:plotVisOnly val="1"/>
    <c:dispBlanksAs val="gap"/>
  </c:chart>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endParaRPr lang="en-CA" sz="1800" b="1" i="0" baseline="0"/>
          </a:p>
          <a:p>
            <a:pPr>
              <a:defRPr/>
            </a:pPr>
            <a:r>
              <a:rPr lang="en-US" sz="1800" b="1" i="0" baseline="0"/>
              <a:t>Percentage Change in Estimated Expenditures from 2005-06</a:t>
            </a:r>
          </a:p>
          <a:p>
            <a:pPr>
              <a:defRPr/>
            </a:pPr>
            <a:r>
              <a:rPr lang="en-US" sz="1800" b="1" i="0" baseline="0"/>
              <a:t> to 2009-10, 2010-11 and 2011-12 </a:t>
            </a:r>
            <a:endParaRPr lang="en-CA" sz="1800" b="1" i="0" baseline="0"/>
          </a:p>
          <a:p>
            <a:pPr>
              <a:defRPr/>
            </a:pPr>
            <a:r>
              <a:rPr lang="en-US" sz="1800" b="1" i="0" baseline="0"/>
              <a:t>ONTARIO</a:t>
            </a:r>
          </a:p>
        </c:rich>
      </c:tx>
    </c:title>
    <c:plotArea>
      <c:layout/>
      <c:barChart>
        <c:barDir val="col"/>
        <c:grouping val="clustered"/>
        <c:ser>
          <c:idx val="3"/>
          <c:order val="0"/>
          <c:spPr>
            <a:solidFill>
              <a:schemeClr val="accent1"/>
            </a:solidFill>
          </c:spPr>
          <c:cat>
            <c:strRef>
              <c:f>'CAN &amp; ON input to 2013-14'!$A$55:$A$63</c:f>
              <c:strCache>
                <c:ptCount val="9"/>
                <c:pt idx="0">
                  <c:v>Disability Tax Measures</c:v>
                </c:pt>
                <c:pt idx="1">
                  <c:v>CPP Disability</c:v>
                </c:pt>
                <c:pt idx="2">
                  <c:v>EI Sickness</c:v>
                </c:pt>
                <c:pt idx="3">
                  <c:v>Veterans' Disability Pensions &amp; Awards</c:v>
                </c:pt>
                <c:pt idx="4">
                  <c:v>ODSP</c:v>
                </c:pt>
                <c:pt idx="5">
                  <c:v>First Nations SA for Disabled</c:v>
                </c:pt>
                <c:pt idx="6">
                  <c:v>ODSP &amp; FN SA</c:v>
                </c:pt>
                <c:pt idx="7">
                  <c:v>Workers' Compensation </c:v>
                </c:pt>
                <c:pt idx="8">
                  <c:v>Private Disability Insurance</c:v>
                </c:pt>
              </c:strCache>
            </c:strRef>
          </c:cat>
          <c:val>
            <c:numRef>
              <c:f>'CAN &amp; ON input to 2013-14'!$E$55:$E$63</c:f>
              <c:numCache>
                <c:formatCode>0.0%</c:formatCode>
                <c:ptCount val="9"/>
                <c:pt idx="0">
                  <c:v>0.19487364512394942</c:v>
                </c:pt>
                <c:pt idx="1">
                  <c:v>0.13616686343959081</c:v>
                </c:pt>
                <c:pt idx="2">
                  <c:v>0.18935595834940211</c:v>
                </c:pt>
                <c:pt idx="3">
                  <c:v>0.24394222732231144</c:v>
                </c:pt>
                <c:pt idx="4">
                  <c:v>0.35436793422404933</c:v>
                </c:pt>
                <c:pt idx="5">
                  <c:v>0.14728682170542634</c:v>
                </c:pt>
                <c:pt idx="6">
                  <c:v>0.34964607955778004</c:v>
                </c:pt>
                <c:pt idx="7">
                  <c:v>0.15469558787281251</c:v>
                </c:pt>
                <c:pt idx="8">
                  <c:v>0.264813843733613</c:v>
                </c:pt>
              </c:numCache>
            </c:numRef>
          </c:val>
        </c:ser>
        <c:ser>
          <c:idx val="5"/>
          <c:order val="1"/>
          <c:spPr>
            <a:solidFill>
              <a:schemeClr val="accent3"/>
            </a:solidFill>
          </c:spPr>
          <c:cat>
            <c:strRef>
              <c:f>'CAN &amp; ON input to 2013-14'!$A$55:$A$63</c:f>
              <c:strCache>
                <c:ptCount val="9"/>
                <c:pt idx="0">
                  <c:v>Disability Tax Measures</c:v>
                </c:pt>
                <c:pt idx="1">
                  <c:v>CPP Disability</c:v>
                </c:pt>
                <c:pt idx="2">
                  <c:v>EI Sickness</c:v>
                </c:pt>
                <c:pt idx="3">
                  <c:v>Veterans' Disability Pensions &amp; Awards</c:v>
                </c:pt>
                <c:pt idx="4">
                  <c:v>ODSP</c:v>
                </c:pt>
                <c:pt idx="5">
                  <c:v>First Nations SA for Disabled</c:v>
                </c:pt>
                <c:pt idx="6">
                  <c:v>ODSP &amp; FN SA</c:v>
                </c:pt>
                <c:pt idx="7">
                  <c:v>Workers' Compensation </c:v>
                </c:pt>
                <c:pt idx="8">
                  <c:v>Private Disability Insurance</c:v>
                </c:pt>
              </c:strCache>
            </c:strRef>
          </c:cat>
          <c:val>
            <c:numRef>
              <c:f>'CAN &amp; ON input to 2013-14'!$G$55:$G$63</c:f>
              <c:numCache>
                <c:formatCode>0.0%</c:formatCode>
                <c:ptCount val="9"/>
                <c:pt idx="0">
                  <c:v>0.2776427787549422</c:v>
                </c:pt>
                <c:pt idx="1">
                  <c:v>0.19893742621015362</c:v>
                </c:pt>
                <c:pt idx="2">
                  <c:v>0.18974161203239487</c:v>
                </c:pt>
                <c:pt idx="3">
                  <c:v>0.25394902744131354</c:v>
                </c:pt>
                <c:pt idx="4">
                  <c:v>0.45356628982528269</c:v>
                </c:pt>
                <c:pt idx="5">
                  <c:v>0.15697674418604643</c:v>
                </c:pt>
                <c:pt idx="6">
                  <c:v>0.44680346769722729</c:v>
                </c:pt>
                <c:pt idx="7">
                  <c:v>0.11589844712841997</c:v>
                </c:pt>
                <c:pt idx="8">
                  <c:v>0.28945988463555322</c:v>
                </c:pt>
              </c:numCache>
            </c:numRef>
          </c:val>
        </c:ser>
        <c:ser>
          <c:idx val="7"/>
          <c:order val="2"/>
          <c:spPr>
            <a:solidFill>
              <a:schemeClr val="accent6">
                <a:lumMod val="75000"/>
              </a:schemeClr>
            </a:solidFill>
          </c:spPr>
          <c:cat>
            <c:strRef>
              <c:f>'CAN &amp; ON input to 2013-14'!$A$55:$A$63</c:f>
              <c:strCache>
                <c:ptCount val="9"/>
                <c:pt idx="0">
                  <c:v>Disability Tax Measures</c:v>
                </c:pt>
                <c:pt idx="1">
                  <c:v>CPP Disability</c:v>
                </c:pt>
                <c:pt idx="2">
                  <c:v>EI Sickness</c:v>
                </c:pt>
                <c:pt idx="3">
                  <c:v>Veterans' Disability Pensions &amp; Awards</c:v>
                </c:pt>
                <c:pt idx="4">
                  <c:v>ODSP</c:v>
                </c:pt>
                <c:pt idx="5">
                  <c:v>First Nations SA for Disabled</c:v>
                </c:pt>
                <c:pt idx="6">
                  <c:v>ODSP &amp; FN SA</c:v>
                </c:pt>
                <c:pt idx="7">
                  <c:v>Workers' Compensation </c:v>
                </c:pt>
                <c:pt idx="8">
                  <c:v>Private Disability Insurance</c:v>
                </c:pt>
              </c:strCache>
            </c:strRef>
          </c:cat>
          <c:val>
            <c:numRef>
              <c:f>'CAN &amp; ON input to 2013-14'!$N$55:$N$63</c:f>
              <c:numCache>
                <c:formatCode>0.0%</c:formatCode>
                <c:ptCount val="9"/>
                <c:pt idx="0">
                  <c:v>0.4632620003307325</c:v>
                </c:pt>
                <c:pt idx="1">
                  <c:v>0.29863570772661696</c:v>
                </c:pt>
                <c:pt idx="2">
                  <c:v>0.422676436559969</c:v>
                </c:pt>
                <c:pt idx="3">
                  <c:v>0.20401065351976982</c:v>
                </c:pt>
                <c:pt idx="4">
                  <c:v>0.7125179856115107</c:v>
                </c:pt>
                <c:pt idx="5">
                  <c:v>0.346106412966878</c:v>
                </c:pt>
                <c:pt idx="6">
                  <c:v>-1</c:v>
                </c:pt>
                <c:pt idx="7">
                  <c:v>-6.9016514666009367E-3</c:v>
                </c:pt>
                <c:pt idx="8">
                  <c:v>0.49973780807551127</c:v>
                </c:pt>
              </c:numCache>
            </c:numRef>
          </c:val>
        </c:ser>
        <c:dLbls/>
        <c:axId val="84974208"/>
        <c:axId val="84996480"/>
      </c:barChart>
      <c:catAx>
        <c:axId val="84974208"/>
        <c:scaling>
          <c:orientation val="minMax"/>
        </c:scaling>
        <c:axPos val="b"/>
        <c:majorTickMark val="none"/>
        <c:tickLblPos val="nextTo"/>
        <c:txPr>
          <a:bodyPr/>
          <a:lstStyle/>
          <a:p>
            <a:pPr>
              <a:defRPr sz="1050" b="1"/>
            </a:pPr>
            <a:endParaRPr lang="en-US"/>
          </a:p>
        </c:txPr>
        <c:crossAx val="84996480"/>
        <c:crosses val="autoZero"/>
        <c:auto val="1"/>
        <c:lblAlgn val="ctr"/>
        <c:lblOffset val="100"/>
      </c:catAx>
      <c:valAx>
        <c:axId val="84996480"/>
        <c:scaling>
          <c:orientation val="minMax"/>
        </c:scaling>
        <c:axPos val="l"/>
        <c:majorGridlines/>
        <c:numFmt formatCode="0%" sourceLinked="0"/>
        <c:majorTickMark val="none"/>
        <c:tickLblPos val="nextTo"/>
        <c:crossAx val="84974208"/>
        <c:crosses val="autoZero"/>
        <c:crossBetween val="between"/>
      </c:valAx>
    </c:plotArea>
    <c:plotVisOnly val="1"/>
    <c:dispBlanksAs val="gap"/>
  </c:chart>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a:t>
            </a:r>
            <a:endParaRPr lang="en-CA"/>
          </a:p>
          <a:p>
            <a:pPr>
              <a:defRPr/>
            </a:pPr>
            <a:r>
              <a:rPr lang="en-US" sz="1800" b="1" i="0" baseline="0"/>
              <a:t>PERCENTAGE CHANGE FROM 2005 TO 2013</a:t>
            </a:r>
          </a:p>
          <a:p>
            <a:pPr>
              <a:defRPr/>
            </a:pPr>
            <a:r>
              <a:rPr lang="en-US" sz="1800" b="1" i="0" baseline="0"/>
              <a:t>ONTARIO</a:t>
            </a:r>
            <a:endParaRPr lang="en-CA"/>
          </a:p>
        </c:rich>
      </c:tx>
    </c:title>
    <c:plotArea>
      <c:layout>
        <c:manualLayout>
          <c:layoutTarget val="inner"/>
          <c:xMode val="edge"/>
          <c:yMode val="edge"/>
          <c:x val="6.4543376909996814E-2"/>
          <c:y val="0.18366454010545324"/>
          <c:w val="0.93545662309000344"/>
          <c:h val="0.76568659287780994"/>
        </c:manualLayout>
      </c:layout>
      <c:barChart>
        <c:barDir val="col"/>
        <c:grouping val="clustered"/>
        <c:ser>
          <c:idx val="0"/>
          <c:order val="0"/>
          <c:spPr>
            <a:solidFill>
              <a:srgbClr val="F79646">
                <a:lumMod val="75000"/>
              </a:srgbClr>
            </a:solidFill>
          </c:spPr>
          <c:dLbls>
            <c:dLbl>
              <c:idx val="2"/>
              <c:layout>
                <c:manualLayout>
                  <c:x val="0"/>
                  <c:y val="-1.6141444811828203E-2"/>
                </c:manualLayout>
              </c:layout>
              <c:showVal val="1"/>
            </c:dLbl>
            <c:txPr>
              <a:bodyPr/>
              <a:lstStyle/>
              <a:p>
                <a:pPr>
                  <a:defRPr sz="1400" b="1"/>
                </a:pPr>
                <a:endParaRPr lang="en-US"/>
              </a:p>
            </c:txPr>
            <c:showVal val="1"/>
          </c:dLbls>
          <c:cat>
            <c:strRef>
              <c:f>'ONT input 09-10 &amp; 13-14 charts'!$A$48:$A$50</c:f>
              <c:strCache>
                <c:ptCount val="3"/>
                <c:pt idx="0">
                  <c:v>ODSP &amp; FN SA</c:v>
                </c:pt>
                <c:pt idx="1">
                  <c:v>Total Income Support for the Disabled</c:v>
                </c:pt>
                <c:pt idx="2">
                  <c:v>Total Income Support for the Disabled excl. ODSP &amp; FN SA</c:v>
                </c:pt>
              </c:strCache>
            </c:strRef>
          </c:cat>
          <c:val>
            <c:numRef>
              <c:f>'ONT input 09-10 &amp; 13-14 charts'!$F$48:$F$50</c:f>
              <c:numCache>
                <c:formatCode>0.0%</c:formatCode>
                <c:ptCount val="3"/>
                <c:pt idx="0">
                  <c:v>0.70416308461149069</c:v>
                </c:pt>
                <c:pt idx="1">
                  <c:v>0.38990181856400324</c:v>
                </c:pt>
                <c:pt idx="2">
                  <c:v>0.27733226837980185</c:v>
                </c:pt>
              </c:numCache>
            </c:numRef>
          </c:val>
        </c:ser>
        <c:dLbls/>
        <c:gapWidth val="50"/>
        <c:axId val="85635840"/>
        <c:axId val="85637376"/>
      </c:barChart>
      <c:catAx>
        <c:axId val="85635840"/>
        <c:scaling>
          <c:orientation val="minMax"/>
        </c:scaling>
        <c:delete val="1"/>
        <c:axPos val="b"/>
        <c:majorTickMark val="none"/>
        <c:tickLblPos val="none"/>
        <c:crossAx val="85637376"/>
        <c:crosses val="autoZero"/>
        <c:auto val="1"/>
        <c:lblAlgn val="ctr"/>
        <c:lblOffset val="100"/>
      </c:catAx>
      <c:valAx>
        <c:axId val="85637376"/>
        <c:scaling>
          <c:orientation val="minMax"/>
        </c:scaling>
        <c:axPos val="l"/>
        <c:majorGridlines/>
        <c:numFmt formatCode="0%" sourceLinked="0"/>
        <c:majorTickMark val="none"/>
        <c:tickLblPos val="nextTo"/>
        <c:crossAx val="85635840"/>
        <c:crosses val="autoZero"/>
        <c:crossBetween val="between"/>
      </c:valAx>
    </c:plotArea>
    <c:plotVisOnly val="1"/>
    <c:dispBlanksAs val="gap"/>
  </c:chart>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a:t>
            </a:r>
            <a:endParaRPr lang="en-US"/>
          </a:p>
          <a:p>
            <a:pPr>
              <a:defRPr lang="en-US"/>
            </a:pPr>
            <a:r>
              <a:rPr lang="en-US" sz="1800" b="1" i="0" baseline="0"/>
              <a:t>2009-10, 2010-11 AND 2011-12</a:t>
            </a:r>
          </a:p>
          <a:p>
            <a:pPr>
              <a:defRPr lang="en-US"/>
            </a:pPr>
            <a:r>
              <a:rPr lang="en-US" sz="1800" b="1" i="0" baseline="0"/>
              <a:t>ONTARIO</a:t>
            </a:r>
          </a:p>
        </c:rich>
      </c:tx>
    </c:title>
    <c:plotArea>
      <c:layout>
        <c:manualLayout>
          <c:layoutTarget val="inner"/>
          <c:xMode val="edge"/>
          <c:yMode val="edge"/>
          <c:x val="5.4248745183155256E-2"/>
          <c:y val="0.21568699029693394"/>
          <c:w val="0.85286599775369565"/>
          <c:h val="0.70719843338971378"/>
        </c:manualLayout>
      </c:layout>
      <c:barChart>
        <c:barDir val="col"/>
        <c:grouping val="clustered"/>
        <c:ser>
          <c:idx val="0"/>
          <c:order val="0"/>
          <c:tx>
            <c:strRef>
              <c:f>'ONT input 09-10 &amp; 13-14 charts'!$B$47</c:f>
              <c:strCache>
                <c:ptCount val="1"/>
                <c:pt idx="0">
                  <c:v>2009-10</c:v>
                </c:pt>
              </c:strCache>
            </c:strRef>
          </c:tx>
          <c:dLbls>
            <c:dLbl>
              <c:idx val="1"/>
              <c:layout>
                <c:manualLayout>
                  <c:x val="1.4635784469980641E-3"/>
                  <c:y val="-4.0314375947745262E-3"/>
                </c:manualLayout>
              </c:layout>
              <c:showVal val="1"/>
            </c:dLbl>
            <c:txPr>
              <a:bodyPr/>
              <a:lstStyle/>
              <a:p>
                <a:pPr>
                  <a:defRPr lang="en-US" sz="1400" b="1" i="0" baseline="0"/>
                </a:pPr>
                <a:endParaRPr lang="en-US"/>
              </a:p>
            </c:txPr>
            <c:showVal val="1"/>
          </c:dLbls>
          <c:cat>
            <c:strRef>
              <c:f>'ONT input 09-10 &amp; 13-14 charts'!$A$48:$A$50</c:f>
              <c:strCache>
                <c:ptCount val="3"/>
                <c:pt idx="0">
                  <c:v>ODSP &amp; FN SA</c:v>
                </c:pt>
                <c:pt idx="1">
                  <c:v>Total Income Support for the Disabled</c:v>
                </c:pt>
                <c:pt idx="2">
                  <c:v>Total Income Support for the Disabled excl. ODSP &amp; FN SA</c:v>
                </c:pt>
              </c:strCache>
            </c:strRef>
          </c:cat>
          <c:val>
            <c:numRef>
              <c:f>'ONT input 09-10 &amp; 13-14 charts'!$B$48:$B$50</c:f>
              <c:numCache>
                <c:formatCode>0.0%</c:formatCode>
                <c:ptCount val="3"/>
                <c:pt idx="0">
                  <c:v>0.34964607955778004</c:v>
                </c:pt>
                <c:pt idx="1">
                  <c:v>0.23448963431443767</c:v>
                </c:pt>
                <c:pt idx="2">
                  <c:v>0.19324016884612316</c:v>
                </c:pt>
              </c:numCache>
            </c:numRef>
          </c:val>
        </c:ser>
        <c:ser>
          <c:idx val="1"/>
          <c:order val="1"/>
          <c:tx>
            <c:strRef>
              <c:f>'ONT input 09-10 &amp; 13-14 charts'!$C$47</c:f>
              <c:strCache>
                <c:ptCount val="1"/>
                <c:pt idx="0">
                  <c:v>2010-11</c:v>
                </c:pt>
              </c:strCache>
            </c:strRef>
          </c:tx>
          <c:spPr>
            <a:solidFill>
              <a:srgbClr val="9BBB59"/>
            </a:solidFill>
          </c:spPr>
          <c:dLbls>
            <c:dLbl>
              <c:idx val="1"/>
              <c:layout>
                <c:manualLayout>
                  <c:x val="0"/>
                  <c:y val="4.0314375947745739E-3"/>
                </c:manualLayout>
              </c:layout>
              <c:showVal val="1"/>
            </c:dLbl>
            <c:txPr>
              <a:bodyPr/>
              <a:lstStyle/>
              <a:p>
                <a:pPr>
                  <a:defRPr lang="en-US" sz="1400" b="1" i="0" baseline="0"/>
                </a:pPr>
                <a:endParaRPr lang="en-US"/>
              </a:p>
            </c:txPr>
            <c:showVal val="1"/>
          </c:dLbls>
          <c:cat>
            <c:strRef>
              <c:f>'ONT input 09-10 &amp; 13-14 charts'!$A$48:$A$50</c:f>
              <c:strCache>
                <c:ptCount val="3"/>
                <c:pt idx="0">
                  <c:v>ODSP &amp; FN SA</c:v>
                </c:pt>
                <c:pt idx="1">
                  <c:v>Total Income Support for the Disabled</c:v>
                </c:pt>
                <c:pt idx="2">
                  <c:v>Total Income Support for the Disabled excl. ODSP &amp; FN SA</c:v>
                </c:pt>
              </c:strCache>
            </c:strRef>
          </c:cat>
          <c:val>
            <c:numRef>
              <c:f>'ONT input 09-10 &amp; 13-14 charts'!$C$48:$C$50</c:f>
              <c:numCache>
                <c:formatCode>0.0%</c:formatCode>
                <c:ptCount val="3"/>
                <c:pt idx="0">
                  <c:v>0.44680346769722729</c:v>
                </c:pt>
                <c:pt idx="1">
                  <c:v>0.2733365075510571</c:v>
                </c:pt>
                <c:pt idx="2">
                  <c:v>0.21119999953952115</c:v>
                </c:pt>
              </c:numCache>
            </c:numRef>
          </c:val>
        </c:ser>
        <c:ser>
          <c:idx val="2"/>
          <c:order val="2"/>
          <c:tx>
            <c:strRef>
              <c:f>'ONT input 09-10 &amp; 13-14 charts'!$D$47</c:f>
              <c:strCache>
                <c:ptCount val="1"/>
                <c:pt idx="0">
                  <c:v>2011-12</c:v>
                </c:pt>
              </c:strCache>
            </c:strRef>
          </c:tx>
          <c:spPr>
            <a:solidFill>
              <a:schemeClr val="accent6">
                <a:lumMod val="75000"/>
              </a:schemeClr>
            </a:solidFill>
          </c:spPr>
          <c:dLbls>
            <c:txPr>
              <a:bodyPr/>
              <a:lstStyle/>
              <a:p>
                <a:pPr>
                  <a:defRPr sz="1400" b="1"/>
                </a:pPr>
                <a:endParaRPr lang="en-US"/>
              </a:p>
            </c:txPr>
            <c:showVal val="1"/>
          </c:dLbls>
          <c:cat>
            <c:strRef>
              <c:f>'ONT input 09-10 &amp; 13-14 charts'!$A$48:$A$50</c:f>
              <c:strCache>
                <c:ptCount val="3"/>
                <c:pt idx="0">
                  <c:v>ODSP &amp; FN SA</c:v>
                </c:pt>
                <c:pt idx="1">
                  <c:v>Total Income Support for the Disabled</c:v>
                </c:pt>
                <c:pt idx="2">
                  <c:v>Total Income Support for the Disabled excl. ODSP &amp; FN SA</c:v>
                </c:pt>
              </c:strCache>
            </c:strRef>
          </c:cat>
          <c:val>
            <c:numRef>
              <c:f>'ONT input 09-10 &amp; 13-14 charts'!$D$48:$D$50</c:f>
              <c:numCache>
                <c:formatCode>0.0%</c:formatCode>
                <c:ptCount val="3"/>
                <c:pt idx="0">
                  <c:v>0.55228662333384204</c:v>
                </c:pt>
                <c:pt idx="1">
                  <c:v>0.32825655137984189</c:v>
                </c:pt>
                <c:pt idx="2">
                  <c:v>0.24800814932642024</c:v>
                </c:pt>
              </c:numCache>
            </c:numRef>
          </c:val>
        </c:ser>
        <c:dLbls/>
        <c:gapWidth val="75"/>
        <c:axId val="87569152"/>
        <c:axId val="87570688"/>
      </c:barChart>
      <c:catAx>
        <c:axId val="87569152"/>
        <c:scaling>
          <c:orientation val="minMax"/>
        </c:scaling>
        <c:delete val="1"/>
        <c:axPos val="b"/>
        <c:majorTickMark val="none"/>
        <c:tickLblPos val="none"/>
        <c:crossAx val="87570688"/>
        <c:crosses val="autoZero"/>
        <c:auto val="1"/>
        <c:lblAlgn val="ctr"/>
        <c:lblOffset val="100"/>
      </c:catAx>
      <c:valAx>
        <c:axId val="87570688"/>
        <c:scaling>
          <c:orientation val="minMax"/>
        </c:scaling>
        <c:axPos val="l"/>
        <c:majorGridlines/>
        <c:numFmt formatCode="0%" sourceLinked="0"/>
        <c:majorTickMark val="none"/>
        <c:tickLblPos val="nextTo"/>
        <c:txPr>
          <a:bodyPr/>
          <a:lstStyle/>
          <a:p>
            <a:pPr>
              <a:defRPr lang="en-US"/>
            </a:pPr>
            <a:endParaRPr lang="en-US"/>
          </a:p>
        </c:txPr>
        <c:crossAx val="87569152"/>
        <c:crosses val="autoZero"/>
        <c:crossBetween val="between"/>
      </c:valAx>
      <c:spPr>
        <a:noFill/>
        <a:ln w="25400">
          <a:noFill/>
        </a:ln>
      </c:spPr>
    </c:plotArea>
    <c:legend>
      <c:legendPos val="b"/>
      <c:layout>
        <c:manualLayout>
          <c:xMode val="edge"/>
          <c:yMode val="edge"/>
          <c:x val="0.3326289718004255"/>
          <c:y val="0.95145561879233997"/>
          <c:w val="0.32791405959553188"/>
          <c:h val="4.6198211501913833E-2"/>
        </c:manualLayout>
      </c:layout>
      <c:txPr>
        <a:bodyPr/>
        <a:lstStyle/>
        <a:p>
          <a:pPr>
            <a:defRPr lang="en-US" sz="1400" b="1" i="0" baseline="0"/>
          </a:pPr>
          <a:endParaRPr lang="en-US"/>
        </a:p>
      </c:txPr>
    </c:legend>
    <c:plotVisOnly val="1"/>
    <c:dispBlanksAs val="gap"/>
  </c:chart>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2010-11</a:t>
            </a:r>
          </a:p>
          <a:p>
            <a:pPr>
              <a:defRPr lang="en-US"/>
            </a:pPr>
            <a:r>
              <a:rPr lang="en-US" sz="1800" b="1" i="0" baseline="0"/>
              <a:t>ONTARIO</a:t>
            </a:r>
          </a:p>
        </c:rich>
      </c:tx>
    </c:title>
    <c:plotArea>
      <c:layout>
        <c:manualLayout>
          <c:layoutTarget val="inner"/>
          <c:xMode val="edge"/>
          <c:yMode val="edge"/>
          <c:x val="7.4974514143814813E-2"/>
          <c:y val="0.18953311825984109"/>
          <c:w val="0.92439026976170857"/>
          <c:h val="0.73738374302156551"/>
        </c:manualLayout>
      </c:layout>
      <c:barChart>
        <c:barDir val="col"/>
        <c:grouping val="clustered"/>
        <c:ser>
          <c:idx val="1"/>
          <c:order val="0"/>
          <c:spPr>
            <a:solidFill>
              <a:schemeClr val="accent3"/>
            </a:solidFill>
          </c:spPr>
          <c:dLbls>
            <c:txPr>
              <a:bodyPr/>
              <a:lstStyle/>
              <a:p>
                <a:pPr>
                  <a:defRPr lang="en-US" sz="1400" b="1" i="0" baseline="0"/>
                </a:pPr>
                <a:endParaRPr lang="en-US"/>
              </a:p>
            </c:txPr>
            <c:showVal val="1"/>
          </c:dLbls>
          <c:cat>
            <c:strRef>
              <c:f>'ONT input 09-10 &amp; 13-14 charts'!$A$48:$A$50</c:f>
              <c:strCache>
                <c:ptCount val="3"/>
                <c:pt idx="0">
                  <c:v>ODSP &amp; FN SA</c:v>
                </c:pt>
                <c:pt idx="1">
                  <c:v>Total Income Support for the Disabled</c:v>
                </c:pt>
                <c:pt idx="2">
                  <c:v>Total Income Support for the Disabled excl. ODSP &amp; FN SA</c:v>
                </c:pt>
              </c:strCache>
            </c:strRef>
          </c:cat>
          <c:val>
            <c:numRef>
              <c:f>'ONT input 09-10 &amp; 13-14 charts'!$C$48:$C$50</c:f>
              <c:numCache>
                <c:formatCode>0.0%</c:formatCode>
                <c:ptCount val="3"/>
                <c:pt idx="0">
                  <c:v>0.44680346769722729</c:v>
                </c:pt>
                <c:pt idx="1">
                  <c:v>0.2733365075510571</c:v>
                </c:pt>
                <c:pt idx="2">
                  <c:v>0.21119999953952115</c:v>
                </c:pt>
              </c:numCache>
            </c:numRef>
          </c:val>
        </c:ser>
        <c:dLbls/>
        <c:gapWidth val="75"/>
        <c:axId val="87595648"/>
        <c:axId val="87638400"/>
      </c:barChart>
      <c:catAx>
        <c:axId val="87595648"/>
        <c:scaling>
          <c:orientation val="minMax"/>
        </c:scaling>
        <c:delete val="1"/>
        <c:axPos val="b"/>
        <c:majorTickMark val="none"/>
        <c:tickLblPos val="none"/>
        <c:crossAx val="87638400"/>
        <c:crosses val="autoZero"/>
        <c:auto val="1"/>
        <c:lblAlgn val="ctr"/>
        <c:lblOffset val="100"/>
      </c:catAx>
      <c:valAx>
        <c:axId val="87638400"/>
        <c:scaling>
          <c:orientation val="minMax"/>
        </c:scaling>
        <c:axPos val="l"/>
        <c:majorGridlines/>
        <c:numFmt formatCode="0%" sourceLinked="0"/>
        <c:majorTickMark val="none"/>
        <c:tickLblPos val="nextTo"/>
        <c:txPr>
          <a:bodyPr/>
          <a:lstStyle/>
          <a:p>
            <a:pPr>
              <a:defRPr lang="en-US"/>
            </a:pPr>
            <a:endParaRPr lang="en-US"/>
          </a:p>
        </c:txPr>
        <c:crossAx val="87595648"/>
        <c:crosses val="autoZero"/>
        <c:crossBetween val="between"/>
      </c:valAx>
    </c:plotArea>
    <c:plotVisOnly val="1"/>
    <c:dispBlanksAs val="gap"/>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CA"/>
  <c:chart>
    <c:title>
      <c:tx>
        <c:rich>
          <a:bodyPr/>
          <a:lstStyle/>
          <a:p>
            <a:pPr algn="ctr">
              <a:defRPr/>
            </a:pPr>
            <a:r>
              <a:rPr lang="en-US" sz="1800" b="1" i="0" baseline="0"/>
              <a:t>ESTIMATED BENEFIT EXPENDITURES, </a:t>
            </a:r>
          </a:p>
          <a:p>
            <a:pPr algn="ctr">
              <a:defRPr/>
            </a:pPr>
            <a:r>
              <a:rPr lang="en-US" sz="1800" b="1" i="0" baseline="0"/>
              <a:t>CANADA 2011-12 </a:t>
            </a:r>
            <a:br>
              <a:rPr lang="en-US" sz="1800" b="1" i="0" baseline="0"/>
            </a:br>
            <a:r>
              <a:rPr lang="en-US" sz="1800" b="1" i="0" baseline="0"/>
              <a:t>$29.5 B </a:t>
            </a:r>
            <a:endParaRPr lang="en-CA"/>
          </a:p>
        </c:rich>
      </c:tx>
      <c:layout/>
    </c:title>
    <c:plotArea>
      <c:layout/>
      <c:pieChart>
        <c:varyColors val="1"/>
        <c:ser>
          <c:idx val="6"/>
          <c:order val="0"/>
          <c:dLbls>
            <c:dLbl>
              <c:idx val="0"/>
              <c:layout/>
              <c:tx>
                <c:rich>
                  <a:bodyPr/>
                  <a:lstStyle/>
                  <a:p>
                    <a:r>
                      <a:rPr lang="en-US" sz="1200"/>
                      <a:t>D</a:t>
                    </a:r>
                    <a:r>
                      <a:rPr lang="en-US"/>
                      <a:t>isability Tax Measures</a:t>
                    </a:r>
                  </a:p>
                  <a:p>
                    <a:r>
                      <a:rPr lang="en-US"/>
                      <a:t>$2.3 B</a:t>
                    </a:r>
                  </a:p>
                </c:rich>
              </c:tx>
              <c:showVal val="1"/>
              <c:showCatName val="1"/>
            </c:dLbl>
            <c:dLbl>
              <c:idx val="1"/>
              <c:layout>
                <c:manualLayout>
                  <c:x val="-0.14706887428644724"/>
                  <c:y val="0.11895514012871219"/>
                </c:manualLayout>
              </c:layout>
              <c:tx>
                <c:rich>
                  <a:bodyPr/>
                  <a:lstStyle/>
                  <a:p>
                    <a:r>
                      <a:rPr lang="en-US" sz="1200"/>
                      <a:t>C</a:t>
                    </a:r>
                    <a:r>
                      <a:rPr lang="en-US"/>
                      <a:t>PP-D &amp; QPP-D</a:t>
                    </a:r>
                  </a:p>
                  <a:p>
                    <a:r>
                      <a:rPr lang="en-US"/>
                      <a:t>$4.6 B</a:t>
                    </a:r>
                  </a:p>
                </c:rich>
              </c:tx>
              <c:showVal val="1"/>
              <c:showCatName val="1"/>
            </c:dLbl>
            <c:dLbl>
              <c:idx val="2"/>
              <c:layout>
                <c:manualLayout>
                  <c:x val="7.1701279804989131E-3"/>
                  <c:y val="-1.5879622951100954E-2"/>
                </c:manualLayout>
              </c:layout>
              <c:tx>
                <c:rich>
                  <a:bodyPr/>
                  <a:lstStyle/>
                  <a:p>
                    <a:r>
                      <a:rPr lang="en-US" sz="1200"/>
                      <a:t>E</a:t>
                    </a:r>
                    <a:r>
                      <a:rPr lang="en-US"/>
                      <a:t>I Sickness</a:t>
                    </a:r>
                  </a:p>
                  <a:p>
                    <a:r>
                      <a:rPr lang="en-US"/>
                      <a:t>$1.1 B</a:t>
                    </a:r>
                  </a:p>
                </c:rich>
              </c:tx>
              <c:showVal val="1"/>
              <c:showCatName val="1"/>
            </c:dLbl>
            <c:dLbl>
              <c:idx val="3"/>
              <c:layout>
                <c:manualLayout>
                  <c:x val="1.2444272063050071E-2"/>
                  <c:y val="9.0957677004605397E-3"/>
                </c:manualLayout>
              </c:layout>
              <c:tx>
                <c:rich>
                  <a:bodyPr/>
                  <a:lstStyle/>
                  <a:p>
                    <a:r>
                      <a:rPr lang="en-US" sz="1200"/>
                      <a:t>V</a:t>
                    </a:r>
                    <a:r>
                      <a:rPr lang="en-US"/>
                      <a:t>eterans' Disability Pensions &amp; Awards</a:t>
                    </a:r>
                  </a:p>
                  <a:p>
                    <a:r>
                      <a:rPr lang="en-US"/>
                      <a:t>$2.1 B</a:t>
                    </a:r>
                  </a:p>
                </c:rich>
              </c:tx>
              <c:showVal val="1"/>
              <c:showCatName val="1"/>
            </c:dLbl>
            <c:dLbl>
              <c:idx val="4"/>
              <c:layout>
                <c:manualLayout>
                  <c:x val="-4.6129572527971965E-2"/>
                  <c:y val="-0.19385589248526774"/>
                </c:manualLayout>
              </c:layout>
              <c:tx>
                <c:rich>
                  <a:bodyPr/>
                  <a:lstStyle/>
                  <a:p>
                    <a:r>
                      <a:rPr lang="en-US" sz="1200"/>
                      <a:t>S</a:t>
                    </a:r>
                    <a:r>
                      <a:rPr lang="en-US"/>
                      <a:t>ocial Assistance - Disabled Component</a:t>
                    </a:r>
                  </a:p>
                  <a:p>
                    <a:r>
                      <a:rPr lang="en-US"/>
                      <a:t>$8.0 B</a:t>
                    </a:r>
                  </a:p>
                </c:rich>
              </c:tx>
              <c:showVal val="1"/>
              <c:showCatName val="1"/>
            </c:dLbl>
            <c:dLbl>
              <c:idx val="5"/>
              <c:layout>
                <c:manualLayout>
                  <c:x val="0.21874887552279737"/>
                  <c:y val="-6.3831311733877141E-2"/>
                </c:manualLayout>
              </c:layout>
              <c:tx>
                <c:rich>
                  <a:bodyPr/>
                  <a:lstStyle/>
                  <a:p>
                    <a:r>
                      <a:rPr lang="en-US" sz="1200"/>
                      <a:t>W</a:t>
                    </a:r>
                    <a:r>
                      <a:rPr lang="en-US"/>
                      <a:t>orkers' Compensation </a:t>
                    </a:r>
                  </a:p>
                  <a:p>
                    <a:r>
                      <a:rPr lang="en-US"/>
                      <a:t>$5.5 B</a:t>
                    </a:r>
                  </a:p>
                </c:rich>
              </c:tx>
              <c:showVal val="1"/>
              <c:showCatName val="1"/>
            </c:dLbl>
            <c:dLbl>
              <c:idx val="6"/>
              <c:layout>
                <c:manualLayout>
                  <c:x val="0.11330243846630074"/>
                  <c:y val="0.18648532113531688"/>
                </c:manualLayout>
              </c:layout>
              <c:tx>
                <c:rich>
                  <a:bodyPr/>
                  <a:lstStyle/>
                  <a:p>
                    <a:r>
                      <a:rPr lang="en-US" sz="1200"/>
                      <a:t>P</a:t>
                    </a:r>
                    <a:r>
                      <a:rPr lang="en-US"/>
                      <a:t>rivate Disability Insurance</a:t>
                    </a:r>
                  </a:p>
                  <a:p>
                    <a:r>
                      <a:rPr lang="en-US"/>
                      <a:t>$5.9 B</a:t>
                    </a:r>
                  </a:p>
                </c:rich>
              </c:tx>
              <c:showVal val="1"/>
              <c:showCatName val="1"/>
            </c:dLbl>
            <c:txPr>
              <a:bodyPr/>
              <a:lstStyle/>
              <a:p>
                <a:pPr>
                  <a:defRPr sz="1200" b="1"/>
                </a:pPr>
                <a:endParaRPr lang="en-US"/>
              </a:p>
            </c:txPr>
            <c:showVal val="1"/>
            <c:showCatName val="1"/>
            <c:showLeaderLines val="1"/>
          </c:dLbls>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2013-14'!$H$43:$H$49</c:f>
              <c:numCache>
                <c:formatCode>#,##0.0</c:formatCode>
                <c:ptCount val="7"/>
                <c:pt idx="0">
                  <c:v>2308.46</c:v>
                </c:pt>
                <c:pt idx="1">
                  <c:v>4643.3999999999996</c:v>
                </c:pt>
                <c:pt idx="2">
                  <c:v>1117.3</c:v>
                </c:pt>
                <c:pt idx="3">
                  <c:v>2054.6999999999998</c:v>
                </c:pt>
                <c:pt idx="4">
                  <c:v>8013.8772289156623</c:v>
                </c:pt>
                <c:pt idx="5">
                  <c:v>5528</c:v>
                </c:pt>
                <c:pt idx="6">
                  <c:v>5869</c:v>
                </c:pt>
              </c:numCache>
            </c:numRef>
          </c:val>
        </c:ser>
        <c:dLbls>
          <c:showCatName val="1"/>
          <c:showPercent val="1"/>
        </c:dLbls>
        <c:firstSliceAng val="0"/>
      </c:pieChart>
    </c:plotArea>
    <c:plotVisOnly val="1"/>
    <c:dispBlanksAs val="zero"/>
  </c:chart>
</c:chartSpace>
</file>

<file path=xl/charts/chart3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2009-10</a:t>
            </a:r>
            <a:endParaRPr lang="en-US"/>
          </a:p>
          <a:p>
            <a:pPr>
              <a:defRPr lang="en-US"/>
            </a:pPr>
            <a:r>
              <a:rPr lang="en-US" sz="1800" b="1" i="0" baseline="0"/>
              <a:t>ONTARIO</a:t>
            </a:r>
            <a:endParaRPr lang="en-US" sz="1800" b="0" i="0" baseline="0"/>
          </a:p>
        </c:rich>
      </c:tx>
    </c:title>
    <c:plotArea>
      <c:layout>
        <c:manualLayout>
          <c:layoutTarget val="inner"/>
          <c:xMode val="edge"/>
          <c:yMode val="edge"/>
          <c:x val="6.2437524215309903E-2"/>
          <c:y val="0.17945452427290484"/>
          <c:w val="0.92439026976170857"/>
          <c:h val="0.75149377460328848"/>
        </c:manualLayout>
      </c:layout>
      <c:barChart>
        <c:barDir val="col"/>
        <c:grouping val="clustered"/>
        <c:ser>
          <c:idx val="0"/>
          <c:order val="0"/>
          <c:dLbls>
            <c:dLbl>
              <c:idx val="1"/>
              <c:layout>
                <c:manualLayout>
                  <c:x val="-1.4635784469980641E-3"/>
                  <c:y val="6.0471563921617524E-3"/>
                </c:manualLayout>
              </c:layout>
              <c:showVal val="1"/>
            </c:dLbl>
            <c:dLbl>
              <c:idx val="2"/>
              <c:layout>
                <c:manualLayout>
                  <c:x val="0"/>
                  <c:y val="0"/>
                </c:manualLayout>
              </c:layout>
              <c:showVal val="1"/>
            </c:dLbl>
            <c:txPr>
              <a:bodyPr/>
              <a:lstStyle/>
              <a:p>
                <a:pPr>
                  <a:defRPr lang="en-US" sz="1400" b="1" i="0" baseline="0"/>
                </a:pPr>
                <a:endParaRPr lang="en-US"/>
              </a:p>
            </c:txPr>
            <c:showVal val="1"/>
          </c:dLbls>
          <c:cat>
            <c:strRef>
              <c:f>'ONT input 09-10 &amp; 13-14 charts'!$A$48:$A$50</c:f>
              <c:strCache>
                <c:ptCount val="3"/>
                <c:pt idx="0">
                  <c:v>ODSP &amp; FN SA</c:v>
                </c:pt>
                <c:pt idx="1">
                  <c:v>Total Income Support for the Disabled</c:v>
                </c:pt>
                <c:pt idx="2">
                  <c:v>Total Income Support for the Disabled excl. ODSP &amp; FN SA</c:v>
                </c:pt>
              </c:strCache>
            </c:strRef>
          </c:cat>
          <c:val>
            <c:numRef>
              <c:f>'ONT input 09-10 &amp; 13-14 charts'!$B$48:$B$50</c:f>
              <c:numCache>
                <c:formatCode>0.0%</c:formatCode>
                <c:ptCount val="3"/>
                <c:pt idx="0">
                  <c:v>0.34964607955778004</c:v>
                </c:pt>
                <c:pt idx="1">
                  <c:v>0.23448963431443767</c:v>
                </c:pt>
                <c:pt idx="2">
                  <c:v>0.19324016884612316</c:v>
                </c:pt>
              </c:numCache>
            </c:numRef>
          </c:val>
        </c:ser>
        <c:dLbls/>
        <c:gapWidth val="75"/>
        <c:axId val="87839104"/>
        <c:axId val="87840640"/>
      </c:barChart>
      <c:catAx>
        <c:axId val="87839104"/>
        <c:scaling>
          <c:orientation val="minMax"/>
        </c:scaling>
        <c:axPos val="b"/>
        <c:majorTickMark val="none"/>
        <c:tickLblPos val="none"/>
        <c:txPr>
          <a:bodyPr/>
          <a:lstStyle/>
          <a:p>
            <a:pPr>
              <a:defRPr lang="en-US"/>
            </a:pPr>
            <a:endParaRPr lang="en-US"/>
          </a:p>
        </c:txPr>
        <c:crossAx val="87840640"/>
        <c:crosses val="autoZero"/>
        <c:auto val="1"/>
        <c:lblAlgn val="ctr"/>
        <c:lblOffset val="100"/>
      </c:catAx>
      <c:valAx>
        <c:axId val="87840640"/>
        <c:scaling>
          <c:orientation val="minMax"/>
        </c:scaling>
        <c:axPos val="l"/>
        <c:majorGridlines/>
        <c:numFmt formatCode="0%" sourceLinked="0"/>
        <c:majorTickMark val="none"/>
        <c:tickLblPos val="nextTo"/>
        <c:txPr>
          <a:bodyPr/>
          <a:lstStyle/>
          <a:p>
            <a:pPr>
              <a:defRPr lang="en-US"/>
            </a:pPr>
            <a:endParaRPr lang="en-US"/>
          </a:p>
        </c:txPr>
        <c:crossAx val="87839104"/>
        <c:crosses val="autoZero"/>
        <c:crossBetween val="between"/>
      </c:valAx>
    </c:plotArea>
    <c:plotVisOnly val="1"/>
    <c:dispBlanksAs val="gap"/>
  </c:chart>
  <c:userShapes r:id="rId1"/>
</c:chartSpace>
</file>

<file path=xl/charts/chart31.xml><?xml version="1.0" encoding="utf-8"?>
<c:chartSpace xmlns:c="http://schemas.openxmlformats.org/drawingml/2006/chart" xmlns:a="http://schemas.openxmlformats.org/drawingml/2006/main" xmlns:r="http://schemas.openxmlformats.org/officeDocument/2006/relationships">
  <c:lang val="en-CA"/>
  <c:chart>
    <c:title>
      <c:tx>
        <c:rich>
          <a:bodyPr/>
          <a:lstStyle/>
          <a:p>
            <a:pPr algn="ctr">
              <a:defRPr/>
            </a:pPr>
            <a:r>
              <a:rPr lang="en-US" sz="1800" b="1" i="0" baseline="0"/>
              <a:t>INCOME SUPPORT FOR PERSONS WITH DISABILITIES:</a:t>
            </a:r>
          </a:p>
          <a:p>
            <a:pPr algn="ctr">
              <a:defRPr/>
            </a:pPr>
            <a:r>
              <a:rPr lang="en-US" sz="1800" b="1" i="0" baseline="0"/>
              <a:t>PERCENTAGE CHANGE FROM 2005 TO 2009</a:t>
            </a:r>
          </a:p>
          <a:p>
            <a:pPr algn="ctr">
              <a:defRPr/>
            </a:pPr>
            <a:r>
              <a:rPr lang="en-US" sz="1800" b="1" i="0" baseline="0"/>
              <a:t> AND 2005 TO 2013</a:t>
            </a:r>
          </a:p>
          <a:p>
            <a:pPr algn="ctr">
              <a:defRPr/>
            </a:pPr>
            <a:r>
              <a:rPr lang="en-US" sz="1800" b="1" i="0" baseline="0"/>
              <a:t>ONTARIO</a:t>
            </a:r>
            <a:endParaRPr lang="en-CA"/>
          </a:p>
        </c:rich>
      </c:tx>
    </c:title>
    <c:plotArea>
      <c:layout>
        <c:manualLayout>
          <c:layoutTarget val="inner"/>
          <c:xMode val="edge"/>
          <c:yMode val="edge"/>
          <c:x val="4.5502229578801984E-2"/>
          <c:y val="0.22194995008226456"/>
          <c:w val="0.93545662309000344"/>
          <c:h val="0.62486726203602094"/>
        </c:manualLayout>
      </c:layout>
      <c:barChart>
        <c:barDir val="col"/>
        <c:grouping val="clustered"/>
        <c:ser>
          <c:idx val="0"/>
          <c:order val="0"/>
          <c:tx>
            <c:strRef>
              <c:f>'ONT input 09-10 &amp; 13-14 charts'!$B$47</c:f>
              <c:strCache>
                <c:ptCount val="1"/>
                <c:pt idx="0">
                  <c:v>2009-10</c:v>
                </c:pt>
              </c:strCache>
            </c:strRef>
          </c:tx>
          <c:spPr>
            <a:solidFill>
              <a:srgbClr val="F79646">
                <a:lumMod val="75000"/>
              </a:srgbClr>
            </a:solidFill>
          </c:spPr>
          <c:dLbls>
            <c:txPr>
              <a:bodyPr/>
              <a:lstStyle/>
              <a:p>
                <a:pPr>
                  <a:defRPr sz="1400" b="1"/>
                </a:pPr>
                <a:endParaRPr lang="en-US"/>
              </a:p>
            </c:txPr>
            <c:showVal val="1"/>
          </c:dLbls>
          <c:cat>
            <c:strRef>
              <c:f>'ONT input 09-10 &amp; 13-14 charts'!$A$48:$A$50</c:f>
              <c:strCache>
                <c:ptCount val="3"/>
                <c:pt idx="0">
                  <c:v>ODSP &amp; FN SA</c:v>
                </c:pt>
                <c:pt idx="1">
                  <c:v>Total Income Support for the Disabled</c:v>
                </c:pt>
                <c:pt idx="2">
                  <c:v>Total Income Support for the Disabled excl. ODSP &amp; FN SA</c:v>
                </c:pt>
              </c:strCache>
            </c:strRef>
          </c:cat>
          <c:val>
            <c:numRef>
              <c:f>'ONT input 09-10 &amp; 13-14 charts'!$B$48:$B$50</c:f>
              <c:numCache>
                <c:formatCode>0.0%</c:formatCode>
                <c:ptCount val="3"/>
                <c:pt idx="0">
                  <c:v>0.34964607955778004</c:v>
                </c:pt>
                <c:pt idx="1">
                  <c:v>0.23448963431443767</c:v>
                </c:pt>
                <c:pt idx="2">
                  <c:v>0.19324016884612316</c:v>
                </c:pt>
              </c:numCache>
            </c:numRef>
          </c:val>
        </c:ser>
        <c:ser>
          <c:idx val="4"/>
          <c:order val="1"/>
          <c:tx>
            <c:strRef>
              <c:f>'ONT input 09-10 &amp; 13-14 charts'!$F$47</c:f>
              <c:strCache>
                <c:ptCount val="1"/>
                <c:pt idx="0">
                  <c:v>2013-14</c:v>
                </c:pt>
              </c:strCache>
            </c:strRef>
          </c:tx>
          <c:spPr>
            <a:solidFill>
              <a:srgbClr val="92D050"/>
            </a:solidFill>
          </c:spPr>
          <c:dLbls>
            <c:dLbl>
              <c:idx val="2"/>
              <c:layout>
                <c:manualLayout>
                  <c:x val="0"/>
                  <c:y val="-1.4123764210349643E-2"/>
                </c:manualLayout>
              </c:layout>
              <c:showVal val="1"/>
            </c:dLbl>
            <c:txPr>
              <a:bodyPr/>
              <a:lstStyle/>
              <a:p>
                <a:pPr>
                  <a:defRPr sz="1400" b="1"/>
                </a:pPr>
                <a:endParaRPr lang="en-US"/>
              </a:p>
            </c:txPr>
            <c:showVal val="1"/>
          </c:dLbls>
          <c:cat>
            <c:strRef>
              <c:f>'ONT input 09-10 &amp; 13-14 charts'!$A$48:$A$50</c:f>
              <c:strCache>
                <c:ptCount val="3"/>
                <c:pt idx="0">
                  <c:v>ODSP &amp; FN SA</c:v>
                </c:pt>
                <c:pt idx="1">
                  <c:v>Total Income Support for the Disabled</c:v>
                </c:pt>
                <c:pt idx="2">
                  <c:v>Total Income Support for the Disabled excl. ODSP &amp; FN SA</c:v>
                </c:pt>
              </c:strCache>
            </c:strRef>
          </c:cat>
          <c:val>
            <c:numRef>
              <c:f>'ONT input 09-10 &amp; 13-14 charts'!$F$48:$F$50</c:f>
              <c:numCache>
                <c:formatCode>0.0%</c:formatCode>
                <c:ptCount val="3"/>
                <c:pt idx="0">
                  <c:v>0.70416308461149069</c:v>
                </c:pt>
                <c:pt idx="1">
                  <c:v>0.38990181856400324</c:v>
                </c:pt>
                <c:pt idx="2">
                  <c:v>0.27733226837980185</c:v>
                </c:pt>
              </c:numCache>
            </c:numRef>
          </c:val>
        </c:ser>
        <c:dLbls/>
        <c:axId val="88009344"/>
        <c:axId val="88031616"/>
      </c:barChart>
      <c:catAx>
        <c:axId val="88009344"/>
        <c:scaling>
          <c:orientation val="minMax"/>
        </c:scaling>
        <c:axPos val="b"/>
        <c:majorTickMark val="none"/>
        <c:tickLblPos val="nextTo"/>
        <c:txPr>
          <a:bodyPr/>
          <a:lstStyle/>
          <a:p>
            <a:pPr>
              <a:defRPr sz="1400" b="1"/>
            </a:pPr>
            <a:endParaRPr lang="en-US"/>
          </a:p>
        </c:txPr>
        <c:crossAx val="88031616"/>
        <c:crosses val="autoZero"/>
        <c:auto val="1"/>
        <c:lblAlgn val="ctr"/>
        <c:lblOffset val="100"/>
      </c:catAx>
      <c:valAx>
        <c:axId val="88031616"/>
        <c:scaling>
          <c:orientation val="minMax"/>
        </c:scaling>
        <c:axPos val="l"/>
        <c:majorGridlines/>
        <c:numFmt formatCode="0%" sourceLinked="0"/>
        <c:majorTickMark val="none"/>
        <c:tickLblPos val="nextTo"/>
        <c:crossAx val="88009344"/>
        <c:crosses val="autoZero"/>
        <c:crossBetween val="between"/>
      </c:valAx>
    </c:plotArea>
    <c:legend>
      <c:legendPos val="b"/>
      <c:layout>
        <c:manualLayout>
          <c:xMode val="edge"/>
          <c:yMode val="edge"/>
          <c:x val="0.30858791497245508"/>
          <c:y val="0.94165074234758972"/>
          <c:w val="0.40040061374542513"/>
          <c:h val="4.6243174043539947E-2"/>
        </c:manualLayout>
      </c:layout>
      <c:txPr>
        <a:bodyPr/>
        <a:lstStyle/>
        <a:p>
          <a:pPr>
            <a:defRPr sz="1400" b="1"/>
          </a:pPr>
          <a:endParaRPr lang="en-US"/>
        </a:p>
      </c:txPr>
    </c:legend>
    <c:plotVisOnly val="1"/>
    <c:dispBlanksAs val="gap"/>
  </c:chart>
</c:chartSpace>
</file>

<file path=xl/charts/chart3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a:p>
          <a:p>
            <a:pPr>
              <a:defRPr/>
            </a:pPr>
            <a:r>
              <a:rPr lang="en-US" sz="1800" b="1" i="0" baseline="0"/>
              <a:t>MANITOBA 2013</a:t>
            </a:r>
            <a:endParaRPr lang="en-CA" sz="1800" b="1" i="0" baseline="0"/>
          </a:p>
          <a:p>
            <a:pPr>
              <a:defRPr/>
            </a:pPr>
            <a:r>
              <a:rPr lang="en-US" sz="1800" b="1" i="0" baseline="0"/>
              <a:t>$960 M</a:t>
            </a:r>
            <a:endParaRPr lang="en-CA"/>
          </a:p>
        </c:rich>
      </c:tx>
    </c:title>
    <c:plotArea>
      <c:layout/>
      <c:pieChart>
        <c:varyColors val="1"/>
        <c:ser>
          <c:idx val="10"/>
          <c:order val="0"/>
          <c:dLbls>
            <c:dLbl>
              <c:idx val="0"/>
              <c:layout>
                <c:manualLayout>
                  <c:x val="0.10413829524181223"/>
                  <c:y val="5.8697506146776574E-2"/>
                </c:manualLayout>
              </c:layout>
              <c:tx>
                <c:rich>
                  <a:bodyPr/>
                  <a:lstStyle/>
                  <a:p>
                    <a:r>
                      <a:rPr lang="en-US" b="1"/>
                      <a:t>D</a:t>
                    </a:r>
                    <a:r>
                      <a:rPr lang="en-US"/>
                      <a:t>isability Tax Measures</a:t>
                    </a:r>
                  </a:p>
                  <a:p>
                    <a:r>
                      <a:rPr lang="en-US"/>
                      <a:t>$91</a:t>
                    </a:r>
                    <a:r>
                      <a:rPr lang="en-US" baseline="0"/>
                      <a:t> M</a:t>
                    </a:r>
                    <a:endParaRPr lang="en-US"/>
                  </a:p>
                </c:rich>
              </c:tx>
              <c:showVal val="1"/>
              <c:showCatName val="1"/>
            </c:dLbl>
            <c:dLbl>
              <c:idx val="1"/>
              <c:layout>
                <c:manualLayout>
                  <c:x val="-0.12008096005211116"/>
                  <c:y val="8.1305537850099363E-2"/>
                </c:manualLayout>
              </c:layout>
              <c:tx>
                <c:rich>
                  <a:bodyPr/>
                  <a:lstStyle/>
                  <a:p>
                    <a:r>
                      <a:rPr lang="en-US" b="1"/>
                      <a:t>C</a:t>
                    </a:r>
                    <a:r>
                      <a:rPr lang="en-US"/>
                      <a:t>PP-D</a:t>
                    </a:r>
                  </a:p>
                  <a:p>
                    <a:r>
                      <a:rPr lang="en-US"/>
                      <a:t>$ 155 M</a:t>
                    </a:r>
                  </a:p>
                </c:rich>
              </c:tx>
              <c:showVal val="1"/>
              <c:showCatName val="1"/>
            </c:dLbl>
            <c:dLbl>
              <c:idx val="2"/>
              <c:layout>
                <c:manualLayout>
                  <c:x val="4.2886637935409179E-2"/>
                  <c:y val="-5.5532289562268194E-3"/>
                </c:manualLayout>
              </c:layout>
              <c:tx>
                <c:rich>
                  <a:bodyPr/>
                  <a:lstStyle/>
                  <a:p>
                    <a:r>
                      <a:rPr lang="en-US" b="1"/>
                      <a:t>E</a:t>
                    </a:r>
                    <a:r>
                      <a:rPr lang="en-US"/>
                      <a:t>I Sickness</a:t>
                    </a:r>
                  </a:p>
                  <a:p>
                    <a:r>
                      <a:rPr lang="en-US"/>
                      <a:t>$38</a:t>
                    </a:r>
                    <a:r>
                      <a:rPr lang="en-US" baseline="0"/>
                      <a:t> M</a:t>
                    </a:r>
                    <a:endParaRPr lang="en-US"/>
                  </a:p>
                </c:rich>
              </c:tx>
              <c:showVal val="1"/>
              <c:showCatName val="1"/>
            </c:dLbl>
            <c:dLbl>
              <c:idx val="3"/>
              <c:layout>
                <c:manualLayout>
                  <c:x val="2.1861624487815062E-2"/>
                  <c:y val="3.9349855648457145E-2"/>
                </c:manualLayout>
              </c:layout>
              <c:tx>
                <c:rich>
                  <a:bodyPr/>
                  <a:lstStyle/>
                  <a:p>
                    <a:r>
                      <a:rPr lang="en-US" b="1"/>
                      <a:t>V</a:t>
                    </a:r>
                    <a:r>
                      <a:rPr lang="en-US"/>
                      <a:t>eterans' Disability Pensions &amp; Awards $78</a:t>
                    </a:r>
                    <a:r>
                      <a:rPr lang="en-US" baseline="0"/>
                      <a:t> M</a:t>
                    </a:r>
                    <a:endParaRPr lang="en-US"/>
                  </a:p>
                </c:rich>
              </c:tx>
              <c:showVal val="1"/>
              <c:showCatName val="1"/>
            </c:dLbl>
            <c:dLbl>
              <c:idx val="4"/>
              <c:layout>
                <c:manualLayout>
                  <c:x val="-4.1484213032033444E-2"/>
                  <c:y val="-0.14345423106033425"/>
                </c:manualLayout>
              </c:layout>
              <c:tx>
                <c:rich>
                  <a:bodyPr/>
                  <a:lstStyle/>
                  <a:p>
                    <a:r>
                      <a:rPr lang="en-US" b="1"/>
                      <a:t>P</a:t>
                    </a:r>
                    <a:r>
                      <a:rPr lang="en-US"/>
                      <a:t>rovincial SA for Disabled </a:t>
                    </a:r>
                  </a:p>
                  <a:p>
                    <a:r>
                      <a:rPr lang="en-US"/>
                      <a:t>$194 M</a:t>
                    </a:r>
                  </a:p>
                </c:rich>
              </c:tx>
              <c:showVal val="1"/>
              <c:showCatName val="1"/>
            </c:dLbl>
            <c:dLbl>
              <c:idx val="5"/>
              <c:tx>
                <c:rich>
                  <a:bodyPr/>
                  <a:lstStyle/>
                  <a:p>
                    <a:r>
                      <a:rPr lang="en-US" b="1"/>
                      <a:t>F</a:t>
                    </a:r>
                    <a:r>
                      <a:rPr lang="en-US"/>
                      <a:t>irst Nations SA for Disabled</a:t>
                    </a:r>
                  </a:p>
                  <a:p>
                    <a:r>
                      <a:rPr lang="en-US"/>
                      <a:t> $118</a:t>
                    </a:r>
                    <a:r>
                      <a:rPr lang="en-US" baseline="0"/>
                      <a:t> M</a:t>
                    </a:r>
                    <a:endParaRPr lang="en-US"/>
                  </a:p>
                </c:rich>
              </c:tx>
              <c:showVal val="1"/>
              <c:showCatName val="1"/>
            </c:dLbl>
            <c:dLbl>
              <c:idx val="6"/>
              <c:layout>
                <c:manualLayout>
                  <c:x val="0.17206802083708167"/>
                  <c:y val="1.4157762922847058E-2"/>
                </c:manualLayout>
              </c:layout>
              <c:tx>
                <c:rich>
                  <a:bodyPr/>
                  <a:lstStyle/>
                  <a:p>
                    <a:r>
                      <a:rPr lang="en-US" b="1"/>
                      <a:t>W</a:t>
                    </a:r>
                    <a:r>
                      <a:rPr lang="en-US"/>
                      <a:t>orkers' Compensation</a:t>
                    </a:r>
                  </a:p>
                  <a:p>
                    <a:r>
                      <a:rPr lang="en-US"/>
                      <a:t>$116 M</a:t>
                    </a:r>
                  </a:p>
                </c:rich>
              </c:tx>
              <c:showVal val="1"/>
              <c:showCatName val="1"/>
            </c:dLbl>
            <c:dLbl>
              <c:idx val="7"/>
              <c:layout>
                <c:manualLayout>
                  <c:x val="0.13086654174013251"/>
                  <c:y val="0.19274044874487564"/>
                </c:manualLayout>
              </c:layout>
              <c:tx>
                <c:rich>
                  <a:bodyPr/>
                  <a:lstStyle/>
                  <a:p>
                    <a:r>
                      <a:rPr lang="en-US" b="1"/>
                      <a:t>P</a:t>
                    </a:r>
                    <a:r>
                      <a:rPr lang="en-US"/>
                      <a:t>rivate Disability Insurance</a:t>
                    </a:r>
                  </a:p>
                  <a:p>
                    <a:r>
                      <a:rPr lang="en-US"/>
                      <a:t>$171 M</a:t>
                    </a:r>
                  </a:p>
                </c:rich>
              </c:tx>
              <c:showVal val="1"/>
              <c:showCatName val="1"/>
            </c:dLbl>
            <c:txPr>
              <a:bodyPr/>
              <a:lstStyle/>
              <a:p>
                <a:pPr>
                  <a:defRPr sz="1400" b="1"/>
                </a:pPr>
                <a:endParaRPr lang="en-US"/>
              </a:p>
            </c:txPr>
            <c:showVal val="1"/>
            <c:showCatName val="1"/>
            <c:showLeaderLines val="1"/>
          </c:dLbls>
          <c:cat>
            <c:strRef>
              <c:f>(Manitoba!$A$256:$A$261,Manitoba!$A$263:$A$264)</c:f>
              <c:strCache>
                <c:ptCount val="8"/>
                <c:pt idx="0">
                  <c:v>Disability Tax Measures</c:v>
                </c:pt>
                <c:pt idx="1">
                  <c:v>CPP-D</c:v>
                </c:pt>
                <c:pt idx="2">
                  <c:v>EI Sickness</c:v>
                </c:pt>
                <c:pt idx="3">
                  <c:v>Veterans' Disability Pensions &amp; Awards</c:v>
                </c:pt>
                <c:pt idx="4">
                  <c:v>Provincial SA for Disabled </c:v>
                </c:pt>
                <c:pt idx="5">
                  <c:v>First Nations SA for Disabled </c:v>
                </c:pt>
                <c:pt idx="6">
                  <c:v>Workers' Compensation </c:v>
                </c:pt>
                <c:pt idx="7">
                  <c:v>Private Disability Insurance</c:v>
                </c:pt>
              </c:strCache>
            </c:strRef>
          </c:cat>
          <c:val>
            <c:numRef>
              <c:f>(Manitoba!$L$256:$L$261,Manitoba!$L$263:$L$264)</c:f>
              <c:numCache>
                <c:formatCode>#,##0.0</c:formatCode>
                <c:ptCount val="8"/>
                <c:pt idx="0">
                  <c:v>90.77849999999998</c:v>
                </c:pt>
                <c:pt idx="1">
                  <c:v>154.80000000000001</c:v>
                </c:pt>
                <c:pt idx="2">
                  <c:v>38</c:v>
                </c:pt>
                <c:pt idx="3">
                  <c:v>78</c:v>
                </c:pt>
                <c:pt idx="4">
                  <c:v>193.5</c:v>
                </c:pt>
                <c:pt idx="5">
                  <c:v>117.587</c:v>
                </c:pt>
                <c:pt idx="6">
                  <c:v>116.4</c:v>
                </c:pt>
                <c:pt idx="7">
                  <c:v>171</c:v>
                </c:pt>
              </c:numCache>
            </c:numRef>
          </c:val>
        </c:ser>
        <c:dLbls>
          <c:showCatName val="1"/>
          <c:showPercent val="1"/>
        </c:dLbls>
        <c:firstSliceAng val="0"/>
      </c:pieChart>
    </c:plotArea>
    <c:plotVisOnly val="1"/>
    <c:dispBlanksAs val="zero"/>
  </c:chart>
</c:chartSpace>
</file>

<file path=xl/charts/chart3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a:p>
          <a:p>
            <a:pPr>
              <a:defRPr/>
            </a:pPr>
            <a:r>
              <a:rPr lang="en-US" sz="1800" b="1" i="0" baseline="0"/>
              <a:t>MANITOBA 2005</a:t>
            </a:r>
          </a:p>
          <a:p>
            <a:pPr>
              <a:defRPr/>
            </a:pPr>
            <a:r>
              <a:rPr lang="en-US" sz="1800" b="1" i="0" baseline="0"/>
              <a:t>$726 M</a:t>
            </a:r>
            <a:endParaRPr lang="en-CA" sz="1800" b="1" i="0" baseline="0"/>
          </a:p>
          <a:p>
            <a:pPr>
              <a:defRPr/>
            </a:pPr>
            <a:endParaRPr lang="en-CA"/>
          </a:p>
        </c:rich>
      </c:tx>
    </c:title>
    <c:plotArea>
      <c:layout>
        <c:manualLayout>
          <c:layoutTarget val="inner"/>
          <c:xMode val="edge"/>
          <c:yMode val="edge"/>
          <c:x val="0.26060964425462502"/>
          <c:y val="0.21956368530791723"/>
          <c:w val="0.51393359887141676"/>
          <c:h val="0.70796154523195032"/>
        </c:manualLayout>
      </c:layout>
      <c:pieChart>
        <c:varyColors val="1"/>
        <c:ser>
          <c:idx val="0"/>
          <c:order val="0"/>
          <c:dLbls>
            <c:dLbl>
              <c:idx val="0"/>
              <c:layout>
                <c:manualLayout>
                  <c:x val="0.12555462675660631"/>
                  <c:y val="5.3926724195453829E-2"/>
                </c:manualLayout>
              </c:layout>
              <c:tx>
                <c:rich>
                  <a:bodyPr/>
                  <a:lstStyle/>
                  <a:p>
                    <a:r>
                      <a:rPr lang="en-US"/>
                      <a:t>Disability Tax Measures </a:t>
                    </a:r>
                  </a:p>
                  <a:p>
                    <a:r>
                      <a:rPr lang="en-US"/>
                      <a:t>$62 M</a:t>
                    </a:r>
                  </a:p>
                </c:rich>
              </c:tx>
              <c:showVal val="1"/>
              <c:showCatName val="1"/>
            </c:dLbl>
            <c:dLbl>
              <c:idx val="1"/>
              <c:layout>
                <c:manualLayout>
                  <c:x val="-9.94061491718774E-2"/>
                  <c:y val="8.0461448319732842E-2"/>
                </c:manualLayout>
              </c:layout>
              <c:tx>
                <c:rich>
                  <a:bodyPr/>
                  <a:lstStyle/>
                  <a:p>
                    <a:r>
                      <a:rPr lang="en-US"/>
                      <a:t>CPP-D</a:t>
                    </a:r>
                  </a:p>
                  <a:p>
                    <a:r>
                      <a:rPr lang="en-US"/>
                      <a:t>$111 M</a:t>
                    </a:r>
                  </a:p>
                </c:rich>
              </c:tx>
              <c:showVal val="1"/>
              <c:showCatName val="1"/>
            </c:dLbl>
            <c:dLbl>
              <c:idx val="2"/>
              <c:layout>
                <c:manualLayout>
                  <c:x val="5.779570636544059E-2"/>
                  <c:y val="-6.6726445088266409E-4"/>
                </c:manualLayout>
              </c:layout>
              <c:tx>
                <c:rich>
                  <a:bodyPr/>
                  <a:lstStyle/>
                  <a:p>
                    <a:r>
                      <a:rPr lang="en-US"/>
                      <a:t>EI Sickness</a:t>
                    </a:r>
                  </a:p>
                  <a:p>
                    <a:r>
                      <a:rPr lang="en-US"/>
                      <a:t>$28 M</a:t>
                    </a:r>
                  </a:p>
                </c:rich>
              </c:tx>
              <c:showVal val="1"/>
              <c:showCatName val="1"/>
            </c:dLbl>
            <c:dLbl>
              <c:idx val="3"/>
              <c:layout>
                <c:manualLayout>
                  <c:x val="5.0202371297529073E-2"/>
                  <c:y val="2.7793629721610934E-2"/>
                </c:manualLayout>
              </c:layout>
              <c:tx>
                <c:rich>
                  <a:bodyPr/>
                  <a:lstStyle/>
                  <a:p>
                    <a:r>
                      <a:rPr lang="en-US"/>
                      <a:t>Veterans' Disability Pensions &amp; Awards $81 M</a:t>
                    </a:r>
                  </a:p>
                </c:rich>
              </c:tx>
              <c:showVal val="1"/>
              <c:showCatName val="1"/>
            </c:dLbl>
            <c:dLbl>
              <c:idx val="4"/>
              <c:layout>
                <c:manualLayout>
                  <c:x val="-5.3761543479323923E-3"/>
                  <c:y val="-0.1429498109099645"/>
                </c:manualLayout>
              </c:layout>
              <c:tx>
                <c:rich>
                  <a:bodyPr/>
                  <a:lstStyle/>
                  <a:p>
                    <a:r>
                      <a:rPr lang="en-US"/>
                      <a:t>Provincial SA for Disabled</a:t>
                    </a:r>
                  </a:p>
                  <a:p>
                    <a:r>
                      <a:rPr lang="en-US"/>
                      <a:t>$156</a:t>
                    </a:r>
                    <a:r>
                      <a:rPr lang="en-US" baseline="0"/>
                      <a:t> M</a:t>
                    </a:r>
                    <a:endParaRPr lang="en-US"/>
                  </a:p>
                </c:rich>
              </c:tx>
              <c:showVal val="1"/>
              <c:showCatName val="1"/>
            </c:dLbl>
            <c:dLbl>
              <c:idx val="5"/>
              <c:tx>
                <c:rich>
                  <a:bodyPr/>
                  <a:lstStyle/>
                  <a:p>
                    <a:r>
                      <a:rPr lang="en-US"/>
                      <a:t>First Nations SA for Disabled  $76 M</a:t>
                    </a:r>
                  </a:p>
                  <a:p>
                    <a:endParaRPr lang="en-US"/>
                  </a:p>
                </c:rich>
              </c:tx>
              <c:showVal val="1"/>
              <c:showCatName val="1"/>
            </c:dLbl>
            <c:dLbl>
              <c:idx val="6"/>
              <c:layout>
                <c:manualLayout>
                  <c:x val="0.16776675136574964"/>
                  <c:y val="3.4902855828300786E-2"/>
                </c:manualLayout>
              </c:layout>
              <c:tx>
                <c:rich>
                  <a:bodyPr/>
                  <a:lstStyle/>
                  <a:p>
                    <a:r>
                      <a:rPr lang="en-US"/>
                      <a:t>Workers' Compensation </a:t>
                    </a:r>
                  </a:p>
                  <a:p>
                    <a:r>
                      <a:rPr lang="en-US"/>
                      <a:t>$96</a:t>
                    </a:r>
                    <a:r>
                      <a:rPr lang="en-US" baseline="0"/>
                      <a:t> M</a:t>
                    </a:r>
                    <a:endParaRPr lang="en-US"/>
                  </a:p>
                </c:rich>
              </c:tx>
              <c:showVal val="1"/>
              <c:showCatName val="1"/>
            </c:dLbl>
            <c:dLbl>
              <c:idx val="7"/>
              <c:layout>
                <c:manualLayout>
                  <c:x val="0.12722081364633242"/>
                  <c:y val="0.18746858296543781"/>
                </c:manualLayout>
              </c:layout>
              <c:tx>
                <c:rich>
                  <a:bodyPr/>
                  <a:lstStyle/>
                  <a:p>
                    <a:r>
                      <a:rPr lang="en-US"/>
                      <a:t>Private Disability Insurance</a:t>
                    </a:r>
                  </a:p>
                  <a:p>
                    <a:r>
                      <a:rPr lang="en-US"/>
                      <a:t>$117 M</a:t>
                    </a:r>
                  </a:p>
                </c:rich>
              </c:tx>
              <c:showVal val="1"/>
              <c:showCatName val="1"/>
            </c:dLbl>
            <c:txPr>
              <a:bodyPr/>
              <a:lstStyle/>
              <a:p>
                <a:pPr>
                  <a:defRPr sz="1400" b="1"/>
                </a:pPr>
                <a:endParaRPr lang="en-US"/>
              </a:p>
            </c:txPr>
            <c:showVal val="1"/>
            <c:showCatName val="1"/>
            <c:showLeaderLines val="1"/>
          </c:dLbls>
          <c:cat>
            <c:strRef>
              <c:f>(Manitoba!$A$256:$A$261,Manitoba!$A$263:$A$264)</c:f>
              <c:strCache>
                <c:ptCount val="8"/>
                <c:pt idx="0">
                  <c:v>Disability Tax Measures</c:v>
                </c:pt>
                <c:pt idx="1">
                  <c:v>CPP-D</c:v>
                </c:pt>
                <c:pt idx="2">
                  <c:v>EI Sickness</c:v>
                </c:pt>
                <c:pt idx="3">
                  <c:v>Veterans' Disability Pensions &amp; Awards</c:v>
                </c:pt>
                <c:pt idx="4">
                  <c:v>Provincial SA for Disabled </c:v>
                </c:pt>
                <c:pt idx="5">
                  <c:v>First Nations SA for Disabled </c:v>
                </c:pt>
                <c:pt idx="6">
                  <c:v>Workers' Compensation </c:v>
                </c:pt>
                <c:pt idx="7">
                  <c:v>Private Disability Insurance</c:v>
                </c:pt>
              </c:strCache>
            </c:strRef>
          </c:cat>
          <c:val>
            <c:numRef>
              <c:f>(Manitoba!$B$256:$B$261,Manitoba!$B$263:$B$264)</c:f>
              <c:numCache>
                <c:formatCode>#,##0.0</c:formatCode>
                <c:ptCount val="8"/>
                <c:pt idx="0">
                  <c:v>62.1</c:v>
                </c:pt>
                <c:pt idx="1">
                  <c:v>110.6</c:v>
                </c:pt>
                <c:pt idx="2">
                  <c:v>27.9</c:v>
                </c:pt>
                <c:pt idx="3">
                  <c:v>81.144000000000005</c:v>
                </c:pt>
                <c:pt idx="4">
                  <c:v>155.9</c:v>
                </c:pt>
                <c:pt idx="5">
                  <c:v>75.734999999999999</c:v>
                </c:pt>
                <c:pt idx="6">
                  <c:v>95.6</c:v>
                </c:pt>
                <c:pt idx="7">
                  <c:v>117</c:v>
                </c:pt>
              </c:numCache>
            </c:numRef>
          </c:val>
        </c:ser>
        <c:dLbls>
          <c:showCatName val="1"/>
          <c:showPercent val="1"/>
        </c:dLbls>
        <c:firstSliceAng val="0"/>
      </c:pieChart>
    </c:plotArea>
    <c:plotVisOnly val="1"/>
    <c:dispBlanksAs val="zero"/>
  </c:chart>
</c:chartSpace>
</file>

<file path=xl/charts/chart3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DISABILITY BENEFIT EXPENDITURES</a:t>
            </a:r>
          </a:p>
          <a:p>
            <a:pPr>
              <a:defRPr/>
            </a:pPr>
            <a:r>
              <a:rPr lang="en-US" sz="1800" b="1" i="0" baseline="0"/>
              <a:t>MANITOBA 2011-12</a:t>
            </a:r>
            <a:endParaRPr lang="en-CA"/>
          </a:p>
          <a:p>
            <a:pPr>
              <a:defRPr/>
            </a:pPr>
            <a:r>
              <a:rPr lang="en-US" sz="1800" b="1" i="0" baseline="0"/>
              <a:t>$894 M</a:t>
            </a:r>
            <a:endParaRPr lang="en-CA"/>
          </a:p>
        </c:rich>
      </c:tx>
    </c:title>
    <c:plotArea>
      <c:layout/>
      <c:pieChart>
        <c:varyColors val="1"/>
        <c:ser>
          <c:idx val="6"/>
          <c:order val="0"/>
          <c:dLbls>
            <c:dLbl>
              <c:idx val="0"/>
              <c:tx>
                <c:rich>
                  <a:bodyPr/>
                  <a:lstStyle/>
                  <a:p>
                    <a:r>
                      <a:rPr lang="en-US"/>
                      <a:t>Disability Tax Measures</a:t>
                    </a:r>
                  </a:p>
                  <a:p>
                    <a:r>
                      <a:rPr lang="en-US"/>
                      <a:t>$83</a:t>
                    </a:r>
                    <a:r>
                      <a:rPr lang="en-US" baseline="0"/>
                      <a:t> M</a:t>
                    </a:r>
                    <a:endParaRPr lang="en-US"/>
                  </a:p>
                </c:rich>
              </c:tx>
              <c:showVal val="1"/>
              <c:showCatName val="1"/>
            </c:dLbl>
            <c:dLbl>
              <c:idx val="1"/>
              <c:layout>
                <c:manualLayout>
                  <c:x val="-0.11097177204690423"/>
                  <c:y val="5.6253252914198054E-2"/>
                </c:manualLayout>
              </c:layout>
              <c:tx>
                <c:rich>
                  <a:bodyPr/>
                  <a:lstStyle/>
                  <a:p>
                    <a:r>
                      <a:rPr lang="en-US"/>
                      <a:t>CPP-D</a:t>
                    </a:r>
                  </a:p>
                  <a:p>
                    <a:r>
                      <a:rPr lang="en-US"/>
                      <a:t>$149 M</a:t>
                    </a:r>
                  </a:p>
                </c:rich>
              </c:tx>
              <c:showVal val="1"/>
              <c:showCatName val="1"/>
            </c:dLbl>
            <c:dLbl>
              <c:idx val="2"/>
              <c:layout>
                <c:manualLayout>
                  <c:x val="-9.7522390359437106E-2"/>
                  <c:y val="-2.2859844597286842E-2"/>
                </c:manualLayout>
              </c:layout>
              <c:tx>
                <c:rich>
                  <a:bodyPr/>
                  <a:lstStyle/>
                  <a:p>
                    <a:r>
                      <a:rPr lang="en-US"/>
                      <a:t>EI Sickness</a:t>
                    </a:r>
                  </a:p>
                  <a:p>
                    <a:r>
                      <a:rPr lang="en-US"/>
                      <a:t>$34 M</a:t>
                    </a:r>
                  </a:p>
                </c:rich>
              </c:tx>
              <c:showVal val="1"/>
              <c:showCatName val="1"/>
            </c:dLbl>
            <c:dLbl>
              <c:idx val="3"/>
              <c:tx>
                <c:rich>
                  <a:bodyPr/>
                  <a:lstStyle/>
                  <a:p>
                    <a:r>
                      <a:rPr lang="en-US"/>
                      <a:t>Veterans' Disability Pensions &amp; Awards</a:t>
                    </a:r>
                  </a:p>
                  <a:p>
                    <a:r>
                      <a:rPr lang="en-US"/>
                      <a:t>$86</a:t>
                    </a:r>
                    <a:r>
                      <a:rPr lang="en-US" baseline="0"/>
                      <a:t> M</a:t>
                    </a:r>
                    <a:endParaRPr lang="en-US"/>
                  </a:p>
                </c:rich>
              </c:tx>
              <c:showVal val="1"/>
              <c:showCatName val="1"/>
            </c:dLbl>
            <c:dLbl>
              <c:idx val="4"/>
              <c:layout>
                <c:manualLayout>
                  <c:x val="1.2945442903314798E-2"/>
                  <c:y val="-0.18324289252149331"/>
                </c:manualLayout>
              </c:layout>
              <c:tx>
                <c:rich>
                  <a:bodyPr/>
                  <a:lstStyle/>
                  <a:p>
                    <a:r>
                      <a:rPr lang="en-US"/>
                      <a:t>Provincial SA </a:t>
                    </a:r>
                  </a:p>
                  <a:p>
                    <a:r>
                      <a:rPr lang="en-US"/>
                      <a:t>for Disabled</a:t>
                    </a:r>
                  </a:p>
                  <a:p>
                    <a:r>
                      <a:rPr lang="en-US"/>
                      <a:t> $195</a:t>
                    </a:r>
                    <a:r>
                      <a:rPr lang="en-US" baseline="0"/>
                      <a:t> M</a:t>
                    </a:r>
                    <a:endParaRPr lang="en-US"/>
                  </a:p>
                </c:rich>
              </c:tx>
              <c:showVal val="1"/>
              <c:showCatName val="1"/>
            </c:dLbl>
            <c:dLbl>
              <c:idx val="5"/>
              <c:layout>
                <c:manualLayout>
                  <c:x val="0.15974657628407224"/>
                  <c:y val="-8.9209603015781125E-2"/>
                </c:manualLayout>
              </c:layout>
              <c:tx>
                <c:rich>
                  <a:bodyPr/>
                  <a:lstStyle/>
                  <a:p>
                    <a:r>
                      <a:rPr lang="en-US"/>
                      <a:t>First Nations SA for Disabled</a:t>
                    </a:r>
                  </a:p>
                  <a:p>
                    <a:r>
                      <a:rPr lang="en-US"/>
                      <a:t>$103</a:t>
                    </a:r>
                    <a:r>
                      <a:rPr lang="en-US" baseline="0"/>
                      <a:t> M</a:t>
                    </a:r>
                    <a:endParaRPr lang="en-US"/>
                  </a:p>
                </c:rich>
              </c:tx>
              <c:showVal val="1"/>
              <c:showCatName val="1"/>
            </c:dLbl>
            <c:dLbl>
              <c:idx val="6"/>
              <c:layout>
                <c:manualLayout>
                  <c:x val="0.19810451202533222"/>
                  <c:y val="5.9879676332257027E-2"/>
                </c:manualLayout>
              </c:layout>
              <c:tx>
                <c:rich>
                  <a:bodyPr/>
                  <a:lstStyle/>
                  <a:p>
                    <a:r>
                      <a:rPr lang="en-US"/>
                      <a:t>Workers'</a:t>
                    </a:r>
                  </a:p>
                  <a:p>
                    <a:r>
                      <a:rPr lang="en-US"/>
                      <a:t> Compensation  </a:t>
                    </a:r>
                  </a:p>
                  <a:p>
                    <a:r>
                      <a:rPr lang="en-US"/>
                      <a:t>$107</a:t>
                    </a:r>
                    <a:r>
                      <a:rPr lang="en-US" baseline="0"/>
                      <a:t> M</a:t>
                    </a:r>
                    <a:endParaRPr lang="en-US"/>
                  </a:p>
                </c:rich>
              </c:tx>
              <c:showVal val="1"/>
              <c:showCatName val="1"/>
            </c:dLbl>
            <c:dLbl>
              <c:idx val="7"/>
              <c:layout>
                <c:manualLayout>
                  <c:x val="0.10395514962120712"/>
                  <c:y val="0.18326672339473649"/>
                </c:manualLayout>
              </c:layout>
              <c:tx>
                <c:rich>
                  <a:bodyPr/>
                  <a:lstStyle/>
                  <a:p>
                    <a:r>
                      <a:rPr lang="en-US"/>
                      <a:t>Private Disability Insurance</a:t>
                    </a:r>
                  </a:p>
                  <a:p>
                    <a:r>
                      <a:rPr lang="en-US"/>
                      <a:t>$138</a:t>
                    </a:r>
                    <a:r>
                      <a:rPr lang="en-US" baseline="0"/>
                      <a:t> M</a:t>
                    </a:r>
                    <a:endParaRPr lang="en-US"/>
                  </a:p>
                </c:rich>
              </c:tx>
              <c:showVal val="1"/>
              <c:showCatName val="1"/>
            </c:dLbl>
            <c:txPr>
              <a:bodyPr/>
              <a:lstStyle/>
              <a:p>
                <a:pPr>
                  <a:defRPr sz="1200" b="1"/>
                </a:pPr>
                <a:endParaRPr lang="en-US"/>
              </a:p>
            </c:txPr>
            <c:showVal val="1"/>
            <c:showCatName val="1"/>
            <c:showLeaderLines val="1"/>
          </c:dLbls>
          <c:cat>
            <c:strRef>
              <c:f>(Manitoba!$A$256:$A$261,Manitoba!$A$263:$A$264)</c:f>
              <c:strCache>
                <c:ptCount val="8"/>
                <c:pt idx="0">
                  <c:v>Disability Tax Measures</c:v>
                </c:pt>
                <c:pt idx="1">
                  <c:v>CPP-D</c:v>
                </c:pt>
                <c:pt idx="2">
                  <c:v>EI Sickness</c:v>
                </c:pt>
                <c:pt idx="3">
                  <c:v>Veterans' Disability Pensions &amp; Awards</c:v>
                </c:pt>
                <c:pt idx="4">
                  <c:v>Provincial SA for Disabled </c:v>
                </c:pt>
                <c:pt idx="5">
                  <c:v>First Nations SA for Disabled </c:v>
                </c:pt>
                <c:pt idx="6">
                  <c:v>Workers' Compensation </c:v>
                </c:pt>
                <c:pt idx="7">
                  <c:v>Private Disability Insurance</c:v>
                </c:pt>
              </c:strCache>
            </c:strRef>
          </c:cat>
          <c:val>
            <c:numRef>
              <c:f>(Manitoba!$H$256:$H$261,Manitoba!$H$263:$H$264)</c:f>
              <c:numCache>
                <c:formatCode>#,##0.0</c:formatCode>
                <c:ptCount val="8"/>
                <c:pt idx="0">
                  <c:v>83.104560000000006</c:v>
                </c:pt>
                <c:pt idx="1">
                  <c:v>149.19999999999999</c:v>
                </c:pt>
                <c:pt idx="2">
                  <c:v>34.200000000000003</c:v>
                </c:pt>
                <c:pt idx="3">
                  <c:v>85.5</c:v>
                </c:pt>
                <c:pt idx="4">
                  <c:v>195</c:v>
                </c:pt>
                <c:pt idx="5">
                  <c:v>102.63000000000001</c:v>
                </c:pt>
                <c:pt idx="6">
                  <c:v>106.5</c:v>
                </c:pt>
                <c:pt idx="7">
                  <c:v>138</c:v>
                </c:pt>
              </c:numCache>
            </c:numRef>
          </c:val>
        </c:ser>
        <c:dLbls>
          <c:showCatName val="1"/>
          <c:showPercent val="1"/>
        </c:dLbls>
        <c:firstSliceAng val="0"/>
      </c:pieChart>
    </c:plotArea>
    <c:plotVisOnly val="1"/>
    <c:dispBlanksAs val="zero"/>
  </c:chart>
</c:chartSpace>
</file>

<file path=xl/charts/chart3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MANITOBA 2010-11</a:t>
            </a:r>
          </a:p>
          <a:p>
            <a:pPr>
              <a:defRPr lang="en-US"/>
            </a:pPr>
            <a:r>
              <a:rPr lang="en-US" sz="1800" b="1" i="0" baseline="0"/>
              <a:t>$875 M</a:t>
            </a:r>
            <a:endParaRPr lang="en-US"/>
          </a:p>
        </c:rich>
      </c:tx>
    </c:title>
    <c:plotArea>
      <c:layout/>
      <c:pieChart>
        <c:varyColors val="1"/>
        <c:ser>
          <c:idx val="4"/>
          <c:order val="0"/>
          <c:dLbls>
            <c:dLbl>
              <c:idx val="0"/>
              <c:tx>
                <c:rich>
                  <a:bodyPr/>
                  <a:lstStyle/>
                  <a:p>
                    <a:r>
                      <a:rPr lang="en-US"/>
                      <a:t>Disability Tax Measures</a:t>
                    </a:r>
                  </a:p>
                  <a:p>
                    <a:r>
                      <a:rPr lang="en-US"/>
                      <a:t>$79</a:t>
                    </a:r>
                    <a:r>
                      <a:rPr lang="en-US" baseline="0"/>
                      <a:t> M</a:t>
                    </a:r>
                    <a:endParaRPr lang="en-US"/>
                  </a:p>
                </c:rich>
              </c:tx>
              <c:showVal val="1"/>
              <c:showCatName val="1"/>
            </c:dLbl>
            <c:dLbl>
              <c:idx val="1"/>
              <c:layout>
                <c:manualLayout>
                  <c:x val="-0.12929038802345691"/>
                  <c:y val="0.10302053081018279"/>
                </c:manualLayout>
              </c:layout>
              <c:tx>
                <c:rich>
                  <a:bodyPr/>
                  <a:lstStyle/>
                  <a:p>
                    <a:r>
                      <a:rPr lang="en-US"/>
                      <a:t>CPP-D</a:t>
                    </a:r>
                  </a:p>
                  <a:p>
                    <a:r>
                      <a:rPr lang="en-US"/>
                      <a:t>$140 M</a:t>
                    </a:r>
                  </a:p>
                </c:rich>
              </c:tx>
              <c:showVal val="1"/>
              <c:showCatName val="1"/>
            </c:dLbl>
            <c:dLbl>
              <c:idx val="2"/>
              <c:tx>
                <c:rich>
                  <a:bodyPr/>
                  <a:lstStyle/>
                  <a:p>
                    <a:r>
                      <a:rPr lang="en-US"/>
                      <a:t>EI Sickness</a:t>
                    </a:r>
                  </a:p>
                  <a:p>
                    <a:r>
                      <a:rPr lang="en-US"/>
                      <a:t>$33 M</a:t>
                    </a:r>
                  </a:p>
                </c:rich>
              </c:tx>
              <c:showVal val="1"/>
              <c:showCatName val="1"/>
            </c:dLbl>
            <c:dLbl>
              <c:idx val="3"/>
              <c:tx>
                <c:rich>
                  <a:bodyPr/>
                  <a:lstStyle/>
                  <a:p>
                    <a:r>
                      <a:rPr lang="en-US"/>
                      <a:t>Veterans' Disability Pensions &amp; Awards $93 M</a:t>
                    </a:r>
                  </a:p>
                </c:rich>
              </c:tx>
              <c:showVal val="1"/>
              <c:showCatName val="1"/>
            </c:dLbl>
            <c:dLbl>
              <c:idx val="4"/>
              <c:layout>
                <c:manualLayout>
                  <c:x val="-1.0704866294618379E-2"/>
                  <c:y val="-0.16639949134050391"/>
                </c:manualLayout>
              </c:layout>
              <c:tx>
                <c:rich>
                  <a:bodyPr/>
                  <a:lstStyle/>
                  <a:p>
                    <a:r>
                      <a:rPr lang="en-US"/>
                      <a:t>Provincial SA for Disabled $188 M</a:t>
                    </a:r>
                  </a:p>
                </c:rich>
              </c:tx>
              <c:showVal val="1"/>
              <c:showCatName val="1"/>
            </c:dLbl>
            <c:dLbl>
              <c:idx val="5"/>
              <c:layout>
                <c:manualLayout>
                  <c:x val="0.16297591364748873"/>
                  <c:y val="-0.10134923010652201"/>
                </c:manualLayout>
              </c:layout>
              <c:tx>
                <c:rich>
                  <a:bodyPr/>
                  <a:lstStyle/>
                  <a:p>
                    <a:r>
                      <a:rPr lang="en-US"/>
                      <a:t>First Nations SA for Disabled</a:t>
                    </a:r>
                  </a:p>
                  <a:p>
                    <a:r>
                      <a:rPr lang="en-US"/>
                      <a:t> $99 M</a:t>
                    </a:r>
                  </a:p>
                </c:rich>
              </c:tx>
              <c:showVal val="1"/>
              <c:showCatName val="1"/>
            </c:dLbl>
            <c:dLbl>
              <c:idx val="6"/>
              <c:layout>
                <c:manualLayout>
                  <c:x val="0.20219463011915373"/>
                  <c:y val="5.7421955970987613E-2"/>
                </c:manualLayout>
              </c:layout>
              <c:tx>
                <c:rich>
                  <a:bodyPr/>
                  <a:lstStyle/>
                  <a:p>
                    <a:r>
                      <a:rPr lang="en-US"/>
                      <a:t>Workers' Compensation</a:t>
                    </a:r>
                  </a:p>
                  <a:p>
                    <a:r>
                      <a:rPr lang="en-US"/>
                      <a:t>$111 M</a:t>
                    </a:r>
                  </a:p>
                </c:rich>
              </c:tx>
              <c:showVal val="1"/>
              <c:showCatName val="1"/>
            </c:dLbl>
            <c:dLbl>
              <c:idx val="7"/>
              <c:layout>
                <c:manualLayout>
                  <c:x val="0.11355864835418875"/>
                  <c:y val="0.17469536457687157"/>
                </c:manualLayout>
              </c:layout>
              <c:tx>
                <c:rich>
                  <a:bodyPr/>
                  <a:lstStyle/>
                  <a:p>
                    <a:r>
                      <a:rPr lang="en-US"/>
                      <a:t>Private Disability Insurance</a:t>
                    </a:r>
                  </a:p>
                  <a:p>
                    <a:r>
                      <a:rPr lang="en-US"/>
                      <a:t>$133 M</a:t>
                    </a:r>
                  </a:p>
                </c:rich>
              </c:tx>
              <c:showVal val="1"/>
              <c:showCatName val="1"/>
            </c:dLbl>
            <c:dLbl>
              <c:idx val="8"/>
              <c:tx>
                <c:rich>
                  <a:bodyPr/>
                  <a:lstStyle/>
                  <a:p>
                    <a:r>
                      <a:rPr lang="en-US"/>
                      <a:t>Private Disability Insurance</a:t>
                    </a:r>
                  </a:p>
                  <a:p>
                    <a:r>
                      <a:rPr lang="en-US"/>
                      <a:t>$133.0 M</a:t>
                    </a:r>
                  </a:p>
                </c:rich>
              </c:tx>
              <c:showVal val="1"/>
              <c:showCatName val="1"/>
            </c:dLbl>
            <c:txPr>
              <a:bodyPr/>
              <a:lstStyle/>
              <a:p>
                <a:pPr>
                  <a:defRPr lang="en-US" sz="1200" b="1" i="0" baseline="0"/>
                </a:pPr>
                <a:endParaRPr lang="en-US"/>
              </a:p>
            </c:txPr>
            <c:showVal val="1"/>
            <c:showCatName val="1"/>
            <c:showLeaderLines val="1"/>
          </c:dLbls>
          <c:cat>
            <c:strRef>
              <c:f>(Manitoba!$A$256:$A$261,Manitoba!$A$263:$A$264)</c:f>
              <c:strCache>
                <c:ptCount val="8"/>
                <c:pt idx="0">
                  <c:v>Disability Tax Measures</c:v>
                </c:pt>
                <c:pt idx="1">
                  <c:v>CPP-D</c:v>
                </c:pt>
                <c:pt idx="2">
                  <c:v>EI Sickness</c:v>
                </c:pt>
                <c:pt idx="3">
                  <c:v>Veterans' Disability Pensions &amp; Awards</c:v>
                </c:pt>
                <c:pt idx="4">
                  <c:v>Provincial SA for Disabled </c:v>
                </c:pt>
                <c:pt idx="5">
                  <c:v>First Nations SA for Disabled </c:v>
                </c:pt>
                <c:pt idx="6">
                  <c:v>Workers' Compensation </c:v>
                </c:pt>
                <c:pt idx="7">
                  <c:v>Private Disability Insurance</c:v>
                </c:pt>
              </c:strCache>
            </c:strRef>
          </c:cat>
          <c:val>
            <c:numRef>
              <c:f>(Manitoba!$F$256:$F$261,Manitoba!$F$263:$F$264)</c:f>
              <c:numCache>
                <c:formatCode>#,##0.0</c:formatCode>
                <c:ptCount val="8"/>
                <c:pt idx="0">
                  <c:v>78.854399999999998</c:v>
                </c:pt>
                <c:pt idx="1">
                  <c:v>139.6</c:v>
                </c:pt>
                <c:pt idx="2">
                  <c:v>33</c:v>
                </c:pt>
                <c:pt idx="3">
                  <c:v>92.600000000000009</c:v>
                </c:pt>
                <c:pt idx="4">
                  <c:v>187.8</c:v>
                </c:pt>
                <c:pt idx="5">
                  <c:v>99.000000000000014</c:v>
                </c:pt>
                <c:pt idx="6">
                  <c:v>110.6</c:v>
                </c:pt>
                <c:pt idx="7">
                  <c:v>133</c:v>
                </c:pt>
              </c:numCache>
            </c:numRef>
          </c:val>
        </c:ser>
        <c:dLbls>
          <c:showCatName val="1"/>
          <c:showPercent val="1"/>
        </c:dLbls>
        <c:firstSliceAng val="0"/>
      </c:pieChart>
    </c:plotArea>
    <c:plotVisOnly val="1"/>
    <c:dispBlanksAs val="zero"/>
  </c:chart>
</c:chartSpace>
</file>

<file path=xl/charts/chart3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a:t>ESTIMATED</a:t>
            </a:r>
            <a:r>
              <a:rPr lang="en-US" baseline="0"/>
              <a:t> DISABILITY BENEFIT EXPENDITURES</a:t>
            </a:r>
          </a:p>
          <a:p>
            <a:pPr>
              <a:defRPr lang="en-US"/>
            </a:pPr>
            <a:r>
              <a:rPr lang="en-US" baseline="0"/>
              <a:t>MANITOBA </a:t>
            </a:r>
            <a:r>
              <a:rPr lang="en-US"/>
              <a:t>2009-10</a:t>
            </a:r>
          </a:p>
          <a:p>
            <a:pPr>
              <a:defRPr lang="en-US"/>
            </a:pPr>
            <a:r>
              <a:rPr lang="en-US"/>
              <a:t>$846</a:t>
            </a:r>
            <a:r>
              <a:rPr lang="en-US" baseline="0"/>
              <a:t> M</a:t>
            </a:r>
            <a:endParaRPr lang="en-US"/>
          </a:p>
        </c:rich>
      </c:tx>
      <c:layout>
        <c:manualLayout>
          <c:xMode val="edge"/>
          <c:yMode val="edge"/>
          <c:x val="0.24060630408181671"/>
          <c:y val="1.2094312784323318E-2"/>
        </c:manualLayout>
      </c:layout>
    </c:title>
    <c:plotArea>
      <c:layout>
        <c:manualLayout>
          <c:layoutTarget val="inner"/>
          <c:xMode val="edge"/>
          <c:yMode val="edge"/>
          <c:x val="0.24641382945646501"/>
          <c:y val="0.23029285695919771"/>
          <c:w val="0.50717234108706999"/>
          <c:h val="0.69850497152440083"/>
        </c:manualLayout>
      </c:layout>
      <c:pieChart>
        <c:varyColors val="1"/>
        <c:ser>
          <c:idx val="1"/>
          <c:order val="0"/>
          <c:tx>
            <c:strRef>
              <c:f>Manitoba!$D$254</c:f>
              <c:strCache>
                <c:ptCount val="1"/>
                <c:pt idx="0">
                  <c:v>2009-10</c:v>
                </c:pt>
              </c:strCache>
            </c:strRef>
          </c:tx>
          <c:dLbls>
            <c:dLbl>
              <c:idx val="0"/>
              <c:tx>
                <c:rich>
                  <a:bodyPr/>
                  <a:lstStyle/>
                  <a:p>
                    <a:r>
                      <a:rPr lang="en-US" sz="1200" b="1" i="0" baseline="0"/>
                      <a:t>D</a:t>
                    </a:r>
                    <a:r>
                      <a:rPr lang="en-US" b="1"/>
                      <a:t>isability Tax Measures</a:t>
                    </a:r>
                  </a:p>
                  <a:p>
                    <a:r>
                      <a:rPr lang="en-US" b="1"/>
                      <a:t>$74 M</a:t>
                    </a:r>
                  </a:p>
                </c:rich>
              </c:tx>
              <c:showVal val="1"/>
              <c:showCatName val="1"/>
            </c:dLbl>
            <c:dLbl>
              <c:idx val="1"/>
              <c:layout>
                <c:manualLayout>
                  <c:x val="-0.12250261081651485"/>
                  <c:y val="7.7791667367672013E-2"/>
                </c:manualLayout>
              </c:layout>
              <c:tx>
                <c:rich>
                  <a:bodyPr/>
                  <a:lstStyle/>
                  <a:p>
                    <a:r>
                      <a:rPr lang="en-US" sz="1200" b="1" i="0" baseline="0"/>
                      <a:t>C</a:t>
                    </a:r>
                    <a:r>
                      <a:rPr lang="en-US" sz="1200" b="1"/>
                      <a:t>PP-D</a:t>
                    </a:r>
                  </a:p>
                  <a:p>
                    <a:r>
                      <a:rPr lang="en-US" sz="1200" b="1"/>
                      <a:t>$133 M</a:t>
                    </a:r>
                  </a:p>
                </c:rich>
              </c:tx>
              <c:showVal val="1"/>
              <c:showCatName val="1"/>
            </c:dLbl>
            <c:dLbl>
              <c:idx val="2"/>
              <c:tx>
                <c:rich>
                  <a:bodyPr/>
                  <a:lstStyle/>
                  <a:p>
                    <a:r>
                      <a:rPr lang="en-US" sz="1200" b="1" i="0" baseline="0"/>
                      <a:t>E</a:t>
                    </a:r>
                    <a:r>
                      <a:rPr lang="en-US"/>
                      <a:t>I Sickness</a:t>
                    </a:r>
                    <a:r>
                      <a:rPr lang="en-US" baseline="0"/>
                      <a:t> $</a:t>
                    </a:r>
                    <a:r>
                      <a:rPr lang="en-US"/>
                      <a:t>35 M</a:t>
                    </a:r>
                  </a:p>
                </c:rich>
              </c:tx>
              <c:showVal val="1"/>
              <c:showCatName val="1"/>
            </c:dLbl>
            <c:dLbl>
              <c:idx val="3"/>
              <c:tx>
                <c:rich>
                  <a:bodyPr/>
                  <a:lstStyle/>
                  <a:p>
                    <a:r>
                      <a:rPr lang="en-US" sz="1200" b="1" i="0" baseline="0"/>
                      <a:t>V</a:t>
                    </a:r>
                    <a:r>
                      <a:rPr lang="en-US"/>
                      <a:t>eterans' Disability Pensions &amp; Awards</a:t>
                    </a:r>
                    <a:r>
                      <a:rPr lang="en-US" baseline="0"/>
                      <a:t> </a:t>
                    </a:r>
                  </a:p>
                  <a:p>
                    <a:r>
                      <a:rPr lang="en-US" baseline="0"/>
                      <a:t>$91</a:t>
                    </a:r>
                    <a:r>
                      <a:rPr lang="en-US"/>
                      <a:t> M</a:t>
                    </a:r>
                  </a:p>
                </c:rich>
              </c:tx>
              <c:showVal val="1"/>
              <c:showCatName val="1"/>
            </c:dLbl>
            <c:dLbl>
              <c:idx val="4"/>
              <c:layout>
                <c:manualLayout>
                  <c:x val="-7.0643589607071828E-3"/>
                  <c:y val="-0.16364589248886041"/>
                </c:manualLayout>
              </c:layout>
              <c:tx>
                <c:rich>
                  <a:bodyPr/>
                  <a:lstStyle/>
                  <a:p>
                    <a:r>
                      <a:rPr lang="en-US" sz="1200" b="1" i="0" baseline="0"/>
                      <a:t>P</a:t>
                    </a:r>
                    <a:r>
                      <a:rPr lang="en-US"/>
                      <a:t>rovincial SA</a:t>
                    </a:r>
                  </a:p>
                  <a:p>
                    <a:r>
                      <a:rPr lang="en-US"/>
                      <a:t> for Disabled </a:t>
                    </a:r>
                  </a:p>
                  <a:p>
                    <a:r>
                      <a:rPr lang="en-US"/>
                      <a:t> $177 M</a:t>
                    </a:r>
                  </a:p>
                </c:rich>
              </c:tx>
              <c:showVal val="1"/>
              <c:showCatName val="1"/>
            </c:dLbl>
            <c:dLbl>
              <c:idx val="5"/>
              <c:layout>
                <c:manualLayout>
                  <c:x val="0.14614660538536944"/>
                  <c:y val="-0.10310195315215566"/>
                </c:manualLayout>
              </c:layout>
              <c:tx>
                <c:rich>
                  <a:bodyPr/>
                  <a:lstStyle/>
                  <a:p>
                    <a:r>
                      <a:rPr lang="en-US" sz="1200" b="1" i="0" baseline="0"/>
                      <a:t>F</a:t>
                    </a:r>
                    <a:r>
                      <a:rPr lang="en-US"/>
                      <a:t>irst Nations SA</a:t>
                    </a:r>
                  </a:p>
                  <a:p>
                    <a:r>
                      <a:rPr lang="en-US"/>
                      <a:t> for Disabled </a:t>
                    </a:r>
                  </a:p>
                  <a:p>
                    <a:r>
                      <a:rPr lang="en-US"/>
                      <a:t>$95 M</a:t>
                    </a:r>
                  </a:p>
                </c:rich>
              </c:tx>
              <c:showVal val="1"/>
              <c:showCatName val="1"/>
            </c:dLbl>
            <c:dLbl>
              <c:idx val="6"/>
              <c:layout>
                <c:manualLayout>
                  <c:x val="0.21070614548523459"/>
                  <c:y val="4.2491193530907634E-2"/>
                </c:manualLayout>
              </c:layout>
              <c:tx>
                <c:rich>
                  <a:bodyPr/>
                  <a:lstStyle/>
                  <a:p>
                    <a:r>
                      <a:rPr lang="en-US" sz="1200" b="1" i="0" baseline="0"/>
                      <a:t>W</a:t>
                    </a:r>
                    <a:r>
                      <a:rPr lang="en-US"/>
                      <a:t>orker's Compensation $117 M</a:t>
                    </a:r>
                  </a:p>
                </c:rich>
              </c:tx>
              <c:showVal val="1"/>
              <c:showCatName val="1"/>
            </c:dLbl>
            <c:dLbl>
              <c:idx val="7"/>
              <c:layout>
                <c:manualLayout>
                  <c:x val="0.11034090775514491"/>
                  <c:y val="0.1677149462533184"/>
                </c:manualLayout>
              </c:layout>
              <c:tx>
                <c:rich>
                  <a:bodyPr/>
                  <a:lstStyle/>
                  <a:p>
                    <a:r>
                      <a:rPr lang="en-US" sz="1200" b="1" i="0" baseline="0"/>
                      <a:t>P</a:t>
                    </a:r>
                    <a:r>
                      <a:rPr lang="en-US"/>
                      <a:t>rivate Disability</a:t>
                    </a:r>
                  </a:p>
                  <a:p>
                    <a:r>
                      <a:rPr lang="en-US"/>
                      <a:t> Insurance</a:t>
                    </a:r>
                  </a:p>
                  <a:p>
                    <a:r>
                      <a:rPr lang="en-US"/>
                      <a:t>$ 125</a:t>
                    </a:r>
                    <a:r>
                      <a:rPr lang="en-US" baseline="0"/>
                      <a:t> </a:t>
                    </a:r>
                    <a:r>
                      <a:rPr lang="en-US"/>
                      <a:t>M</a:t>
                    </a:r>
                  </a:p>
                </c:rich>
              </c:tx>
              <c:showVal val="1"/>
              <c:showCatName val="1"/>
            </c:dLbl>
            <c:txPr>
              <a:bodyPr/>
              <a:lstStyle/>
              <a:p>
                <a:pPr>
                  <a:defRPr lang="en-US" sz="1200" b="1" i="0" baseline="0"/>
                </a:pPr>
                <a:endParaRPr lang="en-US"/>
              </a:p>
            </c:txPr>
            <c:showVal val="1"/>
            <c:showCatName val="1"/>
          </c:dLbls>
          <c:cat>
            <c:strRef>
              <c:f>(Manitoba!$A$256:$A$261,Manitoba!$A$263:$A$264)</c:f>
              <c:strCache>
                <c:ptCount val="8"/>
                <c:pt idx="0">
                  <c:v>Disability Tax Measures</c:v>
                </c:pt>
                <c:pt idx="1">
                  <c:v>CPP-D</c:v>
                </c:pt>
                <c:pt idx="2">
                  <c:v>EI Sickness</c:v>
                </c:pt>
                <c:pt idx="3">
                  <c:v>Veterans' Disability Pensions &amp; Awards</c:v>
                </c:pt>
                <c:pt idx="4">
                  <c:v>Provincial SA for Disabled </c:v>
                </c:pt>
                <c:pt idx="5">
                  <c:v>First Nations SA for Disabled </c:v>
                </c:pt>
                <c:pt idx="6">
                  <c:v>Workers' Compensation </c:v>
                </c:pt>
                <c:pt idx="7">
                  <c:v>Private Disability Insurance</c:v>
                </c:pt>
              </c:strCache>
            </c:strRef>
          </c:cat>
          <c:val>
            <c:numRef>
              <c:f>(Manitoba!$D$256:$D$261,Manitoba!$D$263:$D$264)</c:f>
              <c:numCache>
                <c:formatCode>#,##0.0</c:formatCode>
                <c:ptCount val="8"/>
                <c:pt idx="0">
                  <c:v>73.745999999999995</c:v>
                </c:pt>
                <c:pt idx="1">
                  <c:v>132.6</c:v>
                </c:pt>
                <c:pt idx="2">
                  <c:v>35.1</c:v>
                </c:pt>
                <c:pt idx="3">
                  <c:v>91.358999999999995</c:v>
                </c:pt>
                <c:pt idx="4">
                  <c:v>176.9</c:v>
                </c:pt>
                <c:pt idx="5">
                  <c:v>94.765000000000015</c:v>
                </c:pt>
                <c:pt idx="6">
                  <c:v>116.7</c:v>
                </c:pt>
                <c:pt idx="7">
                  <c:v>125</c:v>
                </c:pt>
              </c:numCache>
            </c:numRef>
          </c:val>
        </c:ser>
        <c:dLbls>
          <c:showCatName val="1"/>
          <c:showPercent val="1"/>
        </c:dLbls>
        <c:firstSliceAng val="0"/>
      </c:pieChart>
    </c:plotArea>
    <c:plotVisOnly val="1"/>
    <c:dispBlanksAs val="zero"/>
  </c:chart>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endParaRPr lang="en-CA"/>
          </a:p>
          <a:p>
            <a:pPr>
              <a:defRPr/>
            </a:pPr>
            <a:r>
              <a:rPr lang="en-US" sz="1800" b="1" i="0" baseline="0"/>
              <a:t>PERCENTAGE CHANGE IN EXPENDITURES FROM 2005 TO 2013</a:t>
            </a:r>
          </a:p>
          <a:p>
            <a:pPr>
              <a:defRPr/>
            </a:pPr>
            <a:r>
              <a:rPr lang="en-US" sz="1800" b="1" i="0" baseline="0"/>
              <a:t>MANITOBA</a:t>
            </a:r>
            <a:endParaRPr lang="en-CA"/>
          </a:p>
        </c:rich>
      </c:tx>
    </c:title>
    <c:plotArea>
      <c:layout>
        <c:manualLayout>
          <c:layoutTarget val="inner"/>
          <c:xMode val="edge"/>
          <c:yMode val="edge"/>
          <c:x val="5.2913630001559325E-2"/>
          <c:y val="0.17357613709806063"/>
          <c:w val="0.93097462994896829"/>
          <c:h val="0.77806196535435868"/>
        </c:manualLayout>
      </c:layout>
      <c:barChart>
        <c:barDir val="col"/>
        <c:grouping val="clustered"/>
        <c:ser>
          <c:idx val="0"/>
          <c:order val="0"/>
          <c:spPr>
            <a:solidFill>
              <a:schemeClr val="accent6">
                <a:lumMod val="75000"/>
              </a:schemeClr>
            </a:solidFill>
          </c:spPr>
          <c:dLbls>
            <c:dLbl>
              <c:idx val="3"/>
              <c:layout>
                <c:manualLayout>
                  <c:x val="0"/>
                  <c:y val="9.2813466540500711E-2"/>
                </c:manualLayout>
              </c:layout>
              <c:showVal val="1"/>
            </c:dLbl>
            <c:txPr>
              <a:bodyPr/>
              <a:lstStyle/>
              <a:p>
                <a:pPr>
                  <a:defRPr sz="1200" b="1"/>
                </a:pPr>
                <a:endParaRPr lang="en-US"/>
              </a:p>
            </c:txPr>
            <c:showVal val="1"/>
          </c:dLbls>
          <c:cat>
            <c:strRef>
              <c:f>Manitoba!$A$256:$A$264</c:f>
              <c:strCache>
                <c:ptCount val="9"/>
                <c:pt idx="0">
                  <c:v>Disability Tax Measures</c:v>
                </c:pt>
                <c:pt idx="1">
                  <c:v>CPP-D</c:v>
                </c:pt>
                <c:pt idx="2">
                  <c:v>EI Sickness</c:v>
                </c:pt>
                <c:pt idx="3">
                  <c:v>Veterans' Disability Pensions &amp; Awards</c:v>
                </c:pt>
                <c:pt idx="4">
                  <c:v>Provincial SA for Disabled </c:v>
                </c:pt>
                <c:pt idx="5">
                  <c:v>First Nations SA for Disabled </c:v>
                </c:pt>
                <c:pt idx="6">
                  <c:v>Total SA, incl. FN</c:v>
                </c:pt>
                <c:pt idx="7">
                  <c:v>Workers' Compensation </c:v>
                </c:pt>
                <c:pt idx="8">
                  <c:v>Private Disability Insurance</c:v>
                </c:pt>
              </c:strCache>
            </c:strRef>
          </c:cat>
          <c:val>
            <c:numRef>
              <c:f>Manitoba!$M$256:$M$264</c:f>
              <c:numCache>
                <c:formatCode>0.0%</c:formatCode>
                <c:ptCount val="9"/>
                <c:pt idx="0">
                  <c:v>0.46181159420289819</c:v>
                </c:pt>
                <c:pt idx="1">
                  <c:v>0.39963833634719725</c:v>
                </c:pt>
                <c:pt idx="2">
                  <c:v>0.36200716845878145</c:v>
                </c:pt>
                <c:pt idx="3">
                  <c:v>-3.8745933155871111E-2</c:v>
                </c:pt>
                <c:pt idx="4">
                  <c:v>0.24118024374599098</c:v>
                </c:pt>
                <c:pt idx="5">
                  <c:v>0.55261107810127419</c:v>
                </c:pt>
                <c:pt idx="6">
                  <c:v>0.34300515897856543</c:v>
                </c:pt>
                <c:pt idx="7">
                  <c:v>0.2175732217573223</c:v>
                </c:pt>
                <c:pt idx="8">
                  <c:v>0.46153846153846156</c:v>
                </c:pt>
              </c:numCache>
            </c:numRef>
          </c:val>
        </c:ser>
        <c:dLbls/>
        <c:gapWidth val="50"/>
        <c:axId val="91754880"/>
        <c:axId val="91756416"/>
      </c:barChart>
      <c:catAx>
        <c:axId val="91754880"/>
        <c:scaling>
          <c:orientation val="minMax"/>
        </c:scaling>
        <c:axPos val="b"/>
        <c:majorTickMark val="none"/>
        <c:tickLblPos val="nextTo"/>
        <c:txPr>
          <a:bodyPr/>
          <a:lstStyle/>
          <a:p>
            <a:pPr>
              <a:defRPr sz="1100" b="1"/>
            </a:pPr>
            <a:endParaRPr lang="en-US"/>
          </a:p>
        </c:txPr>
        <c:crossAx val="91756416"/>
        <c:crosses val="autoZero"/>
        <c:auto val="1"/>
        <c:lblAlgn val="ctr"/>
        <c:lblOffset val="600"/>
      </c:catAx>
      <c:valAx>
        <c:axId val="91756416"/>
        <c:scaling>
          <c:orientation val="minMax"/>
        </c:scaling>
        <c:axPos val="l"/>
        <c:numFmt formatCode="0%" sourceLinked="0"/>
        <c:majorTickMark val="none"/>
        <c:tickLblPos val="nextTo"/>
        <c:crossAx val="91754880"/>
        <c:crosses val="autoZero"/>
        <c:crossBetween val="between"/>
      </c:valAx>
      <c:spPr>
        <a:noFill/>
      </c:spPr>
    </c:plotArea>
    <c:plotVisOnly val="1"/>
    <c:dispBlanksAs val="gap"/>
  </c:chart>
</c:chartSpace>
</file>

<file path=xl/charts/chart3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2010-11 </a:t>
            </a:r>
          </a:p>
          <a:p>
            <a:pPr>
              <a:defRPr lang="en-US"/>
            </a:pPr>
            <a:r>
              <a:rPr lang="en-US" sz="1800" b="1" i="0" baseline="0"/>
              <a:t>Manitoba</a:t>
            </a:r>
            <a:endParaRPr lang="en-US"/>
          </a:p>
        </c:rich>
      </c:tx>
    </c:title>
    <c:plotArea>
      <c:layout/>
      <c:barChart>
        <c:barDir val="col"/>
        <c:grouping val="clustered"/>
        <c:ser>
          <c:idx val="5"/>
          <c:order val="0"/>
          <c:spPr>
            <a:solidFill>
              <a:schemeClr val="accent3"/>
            </a:solidFill>
          </c:spPr>
          <c:dLbls>
            <c:dLbl>
              <c:idx val="0"/>
              <c:layout>
                <c:manualLayout>
                  <c:x val="0"/>
                  <c:y val="-8.0628751895490246E-3"/>
                </c:manualLayout>
              </c:layout>
              <c:showVal val="1"/>
            </c:dLbl>
            <c:dLbl>
              <c:idx val="6"/>
              <c:layout>
                <c:manualLayout>
                  <c:x val="0"/>
                  <c:y val="-1.0078593986936238E-2"/>
                </c:manualLayout>
              </c:layout>
              <c:showVal val="1"/>
            </c:dLbl>
            <c:dLbl>
              <c:idx val="8"/>
              <c:layout>
                <c:manualLayout>
                  <c:x val="0"/>
                  <c:y val="1.0078593986936238E-2"/>
                </c:manualLayout>
              </c:layout>
              <c:showVal val="1"/>
            </c:dLbl>
            <c:txPr>
              <a:bodyPr/>
              <a:lstStyle/>
              <a:p>
                <a:pPr>
                  <a:defRPr lang="en-US" sz="1200" b="1" i="0" baseline="0"/>
                </a:pPr>
                <a:endParaRPr lang="en-US"/>
              </a:p>
            </c:txPr>
            <c:showVal val="1"/>
          </c:dLbls>
          <c:cat>
            <c:strRef>
              <c:f>Manitoba!$A$256:$A$264</c:f>
              <c:strCache>
                <c:ptCount val="9"/>
                <c:pt idx="0">
                  <c:v>Disability Tax Measures</c:v>
                </c:pt>
                <c:pt idx="1">
                  <c:v>CPP-D</c:v>
                </c:pt>
                <c:pt idx="2">
                  <c:v>EI Sickness</c:v>
                </c:pt>
                <c:pt idx="3">
                  <c:v>Veterans' Disability Pensions &amp; Awards</c:v>
                </c:pt>
                <c:pt idx="4">
                  <c:v>Provincial SA for Disabled </c:v>
                </c:pt>
                <c:pt idx="5">
                  <c:v>First Nations SA for Disabled </c:v>
                </c:pt>
                <c:pt idx="6">
                  <c:v>Total SA, incl. FN</c:v>
                </c:pt>
                <c:pt idx="7">
                  <c:v>Workers' Compensation </c:v>
                </c:pt>
                <c:pt idx="8">
                  <c:v>Private Disability Insurance</c:v>
                </c:pt>
              </c:strCache>
            </c:strRef>
          </c:cat>
          <c:val>
            <c:numRef>
              <c:f>Manitoba!$G$256:$G$264</c:f>
              <c:numCache>
                <c:formatCode>0.0%</c:formatCode>
                <c:ptCount val="9"/>
                <c:pt idx="0">
                  <c:v>0.26979710144927532</c:v>
                </c:pt>
                <c:pt idx="1">
                  <c:v>0.26220614828209765</c:v>
                </c:pt>
                <c:pt idx="2">
                  <c:v>0.18279569892473124</c:v>
                </c:pt>
                <c:pt idx="3">
                  <c:v>0.14118111012520954</c:v>
                </c:pt>
                <c:pt idx="4">
                  <c:v>0.20461834509300836</c:v>
                </c:pt>
                <c:pt idx="5">
                  <c:v>0.30718954248366032</c:v>
                </c:pt>
                <c:pt idx="6">
                  <c:v>0.23815485569970005</c:v>
                </c:pt>
                <c:pt idx="7">
                  <c:v>0.15690376569037659</c:v>
                </c:pt>
                <c:pt idx="8">
                  <c:v>0.13675213675213677</c:v>
                </c:pt>
              </c:numCache>
            </c:numRef>
          </c:val>
        </c:ser>
        <c:dLbls/>
        <c:gapWidth val="50"/>
        <c:axId val="92104576"/>
        <c:axId val="92106112"/>
      </c:barChart>
      <c:catAx>
        <c:axId val="92104576"/>
        <c:scaling>
          <c:orientation val="minMax"/>
        </c:scaling>
        <c:axPos val="b"/>
        <c:majorTickMark val="none"/>
        <c:tickLblPos val="nextTo"/>
        <c:txPr>
          <a:bodyPr/>
          <a:lstStyle/>
          <a:p>
            <a:pPr>
              <a:defRPr lang="en-US" sz="1100" b="1" i="0" baseline="0"/>
            </a:pPr>
            <a:endParaRPr lang="en-US"/>
          </a:p>
        </c:txPr>
        <c:crossAx val="92106112"/>
        <c:crosses val="autoZero"/>
        <c:auto val="1"/>
        <c:lblAlgn val="ctr"/>
        <c:lblOffset val="100"/>
      </c:catAx>
      <c:valAx>
        <c:axId val="92106112"/>
        <c:scaling>
          <c:orientation val="minMax"/>
        </c:scaling>
        <c:axPos val="l"/>
        <c:majorGridlines/>
        <c:numFmt formatCode="0%" sourceLinked="0"/>
        <c:majorTickMark val="none"/>
        <c:tickLblPos val="nextTo"/>
        <c:txPr>
          <a:bodyPr/>
          <a:lstStyle/>
          <a:p>
            <a:pPr>
              <a:defRPr lang="en-US"/>
            </a:pPr>
            <a:endParaRPr lang="en-US"/>
          </a:p>
        </c:txPr>
        <c:crossAx val="92104576"/>
        <c:crosses val="autoZero"/>
        <c:crossBetween val="between"/>
      </c:valAx>
    </c:plotArea>
    <c:plotVisOnly val="1"/>
    <c:dispBlanksAs val="gap"/>
  </c:chart>
</c:chartSpace>
</file>

<file path=xl/charts/chart3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2009-10 </a:t>
            </a:r>
            <a:endParaRPr lang="en-US"/>
          </a:p>
          <a:p>
            <a:pPr>
              <a:defRPr lang="en-US"/>
            </a:pPr>
            <a:r>
              <a:rPr lang="en-US" sz="1800" b="1" i="0" baseline="0"/>
              <a:t>Manitoba</a:t>
            </a:r>
            <a:endParaRPr lang="en-US"/>
          </a:p>
        </c:rich>
      </c:tx>
    </c:title>
    <c:plotArea>
      <c:layout/>
      <c:barChart>
        <c:barDir val="col"/>
        <c:grouping val="clustered"/>
        <c:ser>
          <c:idx val="2"/>
          <c:order val="0"/>
          <c:spPr>
            <a:solidFill>
              <a:schemeClr val="accent1"/>
            </a:solidFill>
          </c:spPr>
          <c:dLbls>
            <c:dLbl>
              <c:idx val="0"/>
              <c:layout>
                <c:manualLayout>
                  <c:x val="0"/>
                  <c:y val="6.0471563921617524E-3"/>
                </c:manualLayout>
              </c:layout>
              <c:showVal val="1"/>
            </c:dLbl>
            <c:txPr>
              <a:bodyPr/>
              <a:lstStyle/>
              <a:p>
                <a:pPr>
                  <a:defRPr lang="en-US" sz="1200" b="1" i="0" baseline="0"/>
                </a:pPr>
                <a:endParaRPr lang="en-US"/>
              </a:p>
            </c:txPr>
            <c:showVal val="1"/>
          </c:dLbls>
          <c:cat>
            <c:strRef>
              <c:f>Manitoba!$A$256:$A$264</c:f>
              <c:strCache>
                <c:ptCount val="9"/>
                <c:pt idx="0">
                  <c:v>Disability Tax Measures</c:v>
                </c:pt>
                <c:pt idx="1">
                  <c:v>CPP-D</c:v>
                </c:pt>
                <c:pt idx="2">
                  <c:v>EI Sickness</c:v>
                </c:pt>
                <c:pt idx="3">
                  <c:v>Veterans' Disability Pensions &amp; Awards</c:v>
                </c:pt>
                <c:pt idx="4">
                  <c:v>Provincial SA for Disabled </c:v>
                </c:pt>
                <c:pt idx="5">
                  <c:v>First Nations SA for Disabled </c:v>
                </c:pt>
                <c:pt idx="6">
                  <c:v>Total SA, incl. FN</c:v>
                </c:pt>
                <c:pt idx="7">
                  <c:v>Workers' Compensation </c:v>
                </c:pt>
                <c:pt idx="8">
                  <c:v>Private Disability Insurance</c:v>
                </c:pt>
              </c:strCache>
            </c:strRef>
          </c:cat>
          <c:val>
            <c:numRef>
              <c:f>Manitoba!$E$256:$E$264</c:f>
              <c:numCache>
                <c:formatCode>0.0%</c:formatCode>
                <c:ptCount val="9"/>
                <c:pt idx="0">
                  <c:v>0.18753623188405785</c:v>
                </c:pt>
                <c:pt idx="1">
                  <c:v>0.19891500904159132</c:v>
                </c:pt>
                <c:pt idx="2">
                  <c:v>0.25806451612903236</c:v>
                </c:pt>
                <c:pt idx="3">
                  <c:v>0.12588731144631751</c:v>
                </c:pt>
                <c:pt idx="4">
                  <c:v>0.13470173187940987</c:v>
                </c:pt>
                <c:pt idx="5">
                  <c:v>0.25127087872185933</c:v>
                </c:pt>
                <c:pt idx="6">
                  <c:v>0.17281498909922952</c:v>
                </c:pt>
                <c:pt idx="7">
                  <c:v>0.2207112970711298</c:v>
                </c:pt>
                <c:pt idx="8">
                  <c:v>6.8376068376068383E-2</c:v>
                </c:pt>
              </c:numCache>
            </c:numRef>
          </c:val>
        </c:ser>
        <c:dLbls/>
        <c:gapWidth val="50"/>
        <c:axId val="92134784"/>
        <c:axId val="93394048"/>
      </c:barChart>
      <c:catAx>
        <c:axId val="92134784"/>
        <c:scaling>
          <c:orientation val="minMax"/>
        </c:scaling>
        <c:axPos val="b"/>
        <c:majorTickMark val="none"/>
        <c:tickLblPos val="nextTo"/>
        <c:txPr>
          <a:bodyPr/>
          <a:lstStyle/>
          <a:p>
            <a:pPr>
              <a:defRPr lang="en-US" sz="1100" b="1"/>
            </a:pPr>
            <a:endParaRPr lang="en-US"/>
          </a:p>
        </c:txPr>
        <c:crossAx val="93394048"/>
        <c:crosses val="autoZero"/>
        <c:auto val="1"/>
        <c:lblAlgn val="ctr"/>
        <c:lblOffset val="100"/>
      </c:catAx>
      <c:valAx>
        <c:axId val="93394048"/>
        <c:scaling>
          <c:orientation val="minMax"/>
        </c:scaling>
        <c:axPos val="l"/>
        <c:majorGridlines/>
        <c:numFmt formatCode="0%" sourceLinked="0"/>
        <c:majorTickMark val="none"/>
        <c:tickLblPos val="nextTo"/>
        <c:txPr>
          <a:bodyPr/>
          <a:lstStyle/>
          <a:p>
            <a:pPr>
              <a:defRPr lang="en-US"/>
            </a:pPr>
            <a:endParaRPr lang="en-US"/>
          </a:p>
        </c:txPr>
        <c:crossAx val="92134784"/>
        <c:crosses val="autoZero"/>
        <c:crossBetween val="between"/>
      </c:valAx>
    </c:plotArea>
    <c:plotVisOnly val="1"/>
    <c:dispBlanksAs val="gap"/>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 </a:t>
            </a:r>
            <a:endParaRPr lang="en-US"/>
          </a:p>
          <a:p>
            <a:pPr>
              <a:defRPr lang="en-US"/>
            </a:pPr>
            <a:r>
              <a:rPr lang="en-US" sz="1800" b="1" i="0" baseline="0"/>
              <a:t>CANADA 2010-11 </a:t>
            </a:r>
            <a:br>
              <a:rPr lang="en-US" sz="1800" b="1" i="0" baseline="0"/>
            </a:br>
            <a:r>
              <a:rPr lang="en-US" sz="1800" b="1" i="0" baseline="0"/>
              <a:t>$28.6 B </a:t>
            </a:r>
            <a:endParaRPr lang="en-US"/>
          </a:p>
        </c:rich>
      </c:tx>
      <c:layout/>
    </c:title>
    <c:plotArea>
      <c:layout/>
      <c:pieChart>
        <c:varyColors val="1"/>
        <c:ser>
          <c:idx val="4"/>
          <c:order val="0"/>
          <c:dLbls>
            <c:dLbl>
              <c:idx val="0"/>
              <c:layout/>
              <c:tx>
                <c:rich>
                  <a:bodyPr/>
                  <a:lstStyle/>
                  <a:p>
                    <a:r>
                      <a:rPr lang="en-US"/>
                      <a:t>Disability Tax Measures</a:t>
                    </a:r>
                  </a:p>
                  <a:p>
                    <a:r>
                      <a:rPr lang="en-US"/>
                      <a:t>$2.2 B</a:t>
                    </a:r>
                  </a:p>
                </c:rich>
              </c:tx>
              <c:showVal val="1"/>
              <c:showCatName val="1"/>
            </c:dLbl>
            <c:dLbl>
              <c:idx val="1"/>
              <c:layout>
                <c:manualLayout>
                  <c:x val="-0.13448493908632875"/>
                  <c:y val="0.12294360971113125"/>
                </c:manualLayout>
              </c:layout>
              <c:tx>
                <c:rich>
                  <a:bodyPr/>
                  <a:lstStyle/>
                  <a:p>
                    <a:r>
                      <a:rPr lang="en-US"/>
                      <a:t>CPP-D &amp; QPP-D</a:t>
                    </a:r>
                  </a:p>
                  <a:p>
                    <a:r>
                      <a:rPr lang="en-US"/>
                      <a:t>$4.4 B</a:t>
                    </a:r>
                  </a:p>
                </c:rich>
              </c:tx>
              <c:showVal val="1"/>
              <c:showCatName val="1"/>
            </c:dLbl>
            <c:dLbl>
              <c:idx val="2"/>
              <c:layout>
                <c:manualLayout>
                  <c:x val="1.2653499992278867E-2"/>
                  <c:y val="3.5373484123913212E-3"/>
                </c:manualLayout>
              </c:layout>
              <c:tx>
                <c:rich>
                  <a:bodyPr/>
                  <a:lstStyle/>
                  <a:p>
                    <a:r>
                      <a:rPr lang="en-US"/>
                      <a:t>EI Sickness</a:t>
                    </a:r>
                  </a:p>
                  <a:p>
                    <a:r>
                      <a:rPr lang="en-US"/>
                      <a:t>$1.1 B</a:t>
                    </a:r>
                  </a:p>
                </c:rich>
              </c:tx>
              <c:showVal val="1"/>
              <c:showCatName val="1"/>
            </c:dLbl>
            <c:dLbl>
              <c:idx val="3"/>
              <c:layout>
                <c:manualLayout>
                  <c:x val="-0.15437306868147271"/>
                  <c:y val="-5.4901196448144812E-2"/>
                </c:manualLayout>
              </c:layout>
              <c:tx>
                <c:rich>
                  <a:bodyPr/>
                  <a:lstStyle/>
                  <a:p>
                    <a:r>
                      <a:rPr lang="en-US"/>
                      <a:t>Veterans' Disability Pensions &amp; Awards</a:t>
                    </a:r>
                  </a:p>
                  <a:p>
                    <a:r>
                      <a:rPr lang="en-US"/>
                      <a:t>$2.1 B</a:t>
                    </a:r>
                  </a:p>
                </c:rich>
              </c:tx>
              <c:showVal val="1"/>
              <c:showCatName val="1"/>
            </c:dLbl>
            <c:dLbl>
              <c:idx val="4"/>
              <c:layout>
                <c:manualLayout>
                  <c:x val="-5.0470753669145066E-2"/>
                  <c:y val="-0.18272681359934248"/>
                </c:manualLayout>
              </c:layout>
              <c:tx>
                <c:rich>
                  <a:bodyPr/>
                  <a:lstStyle/>
                  <a:p>
                    <a:r>
                      <a:rPr lang="en-US"/>
                      <a:t>Social Assistance - Disabled component</a:t>
                    </a:r>
                  </a:p>
                  <a:p>
                    <a:r>
                      <a:rPr lang="en-US"/>
                      <a:t>$7.7 B</a:t>
                    </a:r>
                  </a:p>
                </c:rich>
              </c:tx>
              <c:showVal val="1"/>
              <c:showCatName val="1"/>
            </c:dLbl>
            <c:dLbl>
              <c:idx val="5"/>
              <c:layout>
                <c:manualLayout>
                  <c:x val="0.20540366991719394"/>
                  <c:y val="-5.961639125387673E-2"/>
                </c:manualLayout>
              </c:layout>
              <c:tx>
                <c:rich>
                  <a:bodyPr/>
                  <a:lstStyle/>
                  <a:p>
                    <a:r>
                      <a:rPr lang="en-US"/>
                      <a:t>Workers' Compensation</a:t>
                    </a:r>
                  </a:p>
                  <a:p>
                    <a:r>
                      <a:rPr lang="en-US"/>
                      <a:t>$5.4 B</a:t>
                    </a:r>
                  </a:p>
                </c:rich>
              </c:tx>
              <c:showVal val="1"/>
              <c:showCatName val="1"/>
            </c:dLbl>
            <c:dLbl>
              <c:idx val="6"/>
              <c:layout>
                <c:manualLayout>
                  <c:x val="0.12706632499600684"/>
                  <c:y val="0.17817716168382039"/>
                </c:manualLayout>
              </c:layout>
              <c:tx>
                <c:rich>
                  <a:bodyPr/>
                  <a:lstStyle/>
                  <a:p>
                    <a:r>
                      <a:rPr lang="en-US"/>
                      <a:t>Private Disability Insurance</a:t>
                    </a:r>
                  </a:p>
                  <a:p>
                    <a:r>
                      <a:rPr lang="en-US"/>
                      <a:t>$5.7 B</a:t>
                    </a:r>
                  </a:p>
                </c:rich>
              </c:tx>
              <c:showVal val="1"/>
              <c:showCatName val="1"/>
            </c:dLbl>
            <c:txPr>
              <a:bodyPr/>
              <a:lstStyle/>
              <a:p>
                <a:pPr>
                  <a:defRPr lang="en-US" sz="1200" b="1" i="0" baseline="0"/>
                </a:pPr>
                <a:endParaRPr lang="en-US"/>
              </a:p>
            </c:txPr>
            <c:showVal val="1"/>
            <c:showCatName val="1"/>
            <c:showLeaderLines val="1"/>
          </c:dLbls>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2013-14'!$F$43:$F$49</c:f>
              <c:numCache>
                <c:formatCode>#,##0.0</c:formatCode>
                <c:ptCount val="7"/>
                <c:pt idx="0">
                  <c:v>2190.4</c:v>
                </c:pt>
                <c:pt idx="1">
                  <c:v>4435</c:v>
                </c:pt>
                <c:pt idx="2">
                  <c:v>1066</c:v>
                </c:pt>
                <c:pt idx="3">
                  <c:v>2117.7999999999997</c:v>
                </c:pt>
                <c:pt idx="4">
                  <c:v>7757.0619753086439</c:v>
                </c:pt>
                <c:pt idx="5">
                  <c:v>5397.9</c:v>
                </c:pt>
                <c:pt idx="6">
                  <c:v>5674</c:v>
                </c:pt>
              </c:numCache>
            </c:numRef>
          </c:val>
        </c:ser>
        <c:dLbls>
          <c:showCatName val="1"/>
          <c:showPercent val="1"/>
        </c:dLbls>
        <c:firstSliceAng val="0"/>
      </c:pieChart>
    </c:plotArea>
    <c:plotVisOnly val="1"/>
    <c:dispBlanksAs val="zero"/>
  </c:chart>
</c:chartSpace>
</file>

<file path=xl/charts/chart4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p>
          <a:p>
            <a:pPr>
              <a:defRPr/>
            </a:pPr>
            <a:r>
              <a:rPr lang="en-US" sz="1800" b="1" i="0" baseline="0"/>
              <a:t>Percentage Change in Estimated Expenditures from 2005-06 to </a:t>
            </a:r>
            <a:endParaRPr lang="en-CA"/>
          </a:p>
          <a:p>
            <a:pPr>
              <a:defRPr/>
            </a:pPr>
            <a:r>
              <a:rPr lang="en-US" sz="1800" b="1" i="0" baseline="0"/>
              <a:t>2009-10, 2010-11 and 2011-12</a:t>
            </a:r>
          </a:p>
          <a:p>
            <a:pPr>
              <a:defRPr/>
            </a:pPr>
            <a:r>
              <a:rPr lang="en-US" sz="1800" b="1" i="0" baseline="0"/>
              <a:t>MANITOBA</a:t>
            </a:r>
            <a:endParaRPr lang="en-CA"/>
          </a:p>
        </c:rich>
      </c:tx>
      <c:layout>
        <c:manualLayout>
          <c:xMode val="edge"/>
          <c:yMode val="edge"/>
          <c:x val="0.16370404405828551"/>
          <c:y val="1.2106083608871186E-2"/>
        </c:manualLayout>
      </c:layout>
      <c:overlay val="1"/>
    </c:title>
    <c:plotArea>
      <c:layout>
        <c:manualLayout>
          <c:layoutTarget val="inner"/>
          <c:xMode val="edge"/>
          <c:yMode val="edge"/>
          <c:x val="5.5162007755779022E-2"/>
          <c:y val="0.20601027333058378"/>
          <c:w val="0.92433214127215968"/>
          <c:h val="0.65889266511141165"/>
        </c:manualLayout>
      </c:layout>
      <c:barChart>
        <c:barDir val="col"/>
        <c:grouping val="clustered"/>
        <c:ser>
          <c:idx val="3"/>
          <c:order val="0"/>
          <c:spPr>
            <a:solidFill>
              <a:schemeClr val="accent1"/>
            </a:solidFill>
          </c:spPr>
          <c:cat>
            <c:strRef>
              <c:f>Manitoba!$A$256:$A$264</c:f>
              <c:strCache>
                <c:ptCount val="9"/>
                <c:pt idx="0">
                  <c:v>Disability Tax Measures</c:v>
                </c:pt>
                <c:pt idx="1">
                  <c:v>CPP-D</c:v>
                </c:pt>
                <c:pt idx="2">
                  <c:v>EI Sickness</c:v>
                </c:pt>
                <c:pt idx="3">
                  <c:v>Veterans' Disability Pensions &amp; Awards</c:v>
                </c:pt>
                <c:pt idx="4">
                  <c:v>Provincial SA for Disabled </c:v>
                </c:pt>
                <c:pt idx="5">
                  <c:v>First Nations SA for Disabled </c:v>
                </c:pt>
                <c:pt idx="6">
                  <c:v>Total SA, incl. FN</c:v>
                </c:pt>
                <c:pt idx="7">
                  <c:v>Workers' Compensation </c:v>
                </c:pt>
                <c:pt idx="8">
                  <c:v>Private Disability Insurance</c:v>
                </c:pt>
              </c:strCache>
            </c:strRef>
          </c:cat>
          <c:val>
            <c:numRef>
              <c:f>Manitoba!$E$256:$E$264</c:f>
              <c:numCache>
                <c:formatCode>0.0%</c:formatCode>
                <c:ptCount val="9"/>
                <c:pt idx="0">
                  <c:v>0.18753623188405785</c:v>
                </c:pt>
                <c:pt idx="1">
                  <c:v>0.19891500904159132</c:v>
                </c:pt>
                <c:pt idx="2">
                  <c:v>0.25806451612903236</c:v>
                </c:pt>
                <c:pt idx="3">
                  <c:v>0.12588731144631751</c:v>
                </c:pt>
                <c:pt idx="4">
                  <c:v>0.13470173187940987</c:v>
                </c:pt>
                <c:pt idx="5">
                  <c:v>0.25127087872185933</c:v>
                </c:pt>
                <c:pt idx="6">
                  <c:v>0.17281498909922952</c:v>
                </c:pt>
                <c:pt idx="7">
                  <c:v>0.2207112970711298</c:v>
                </c:pt>
                <c:pt idx="8">
                  <c:v>6.8376068376068383E-2</c:v>
                </c:pt>
              </c:numCache>
            </c:numRef>
          </c:val>
        </c:ser>
        <c:ser>
          <c:idx val="5"/>
          <c:order val="1"/>
          <c:spPr>
            <a:solidFill>
              <a:schemeClr val="accent3"/>
            </a:solidFill>
          </c:spPr>
          <c:cat>
            <c:strRef>
              <c:f>Manitoba!$A$256:$A$264</c:f>
              <c:strCache>
                <c:ptCount val="9"/>
                <c:pt idx="0">
                  <c:v>Disability Tax Measures</c:v>
                </c:pt>
                <c:pt idx="1">
                  <c:v>CPP-D</c:v>
                </c:pt>
                <c:pt idx="2">
                  <c:v>EI Sickness</c:v>
                </c:pt>
                <c:pt idx="3">
                  <c:v>Veterans' Disability Pensions &amp; Awards</c:v>
                </c:pt>
                <c:pt idx="4">
                  <c:v>Provincial SA for Disabled </c:v>
                </c:pt>
                <c:pt idx="5">
                  <c:v>First Nations SA for Disabled </c:v>
                </c:pt>
                <c:pt idx="6">
                  <c:v>Total SA, incl. FN</c:v>
                </c:pt>
                <c:pt idx="7">
                  <c:v>Workers' Compensation </c:v>
                </c:pt>
                <c:pt idx="8">
                  <c:v>Private Disability Insurance</c:v>
                </c:pt>
              </c:strCache>
            </c:strRef>
          </c:cat>
          <c:val>
            <c:numRef>
              <c:f>Manitoba!$G$256:$G$264</c:f>
              <c:numCache>
                <c:formatCode>0.0%</c:formatCode>
                <c:ptCount val="9"/>
                <c:pt idx="0">
                  <c:v>0.26979710144927532</c:v>
                </c:pt>
                <c:pt idx="1">
                  <c:v>0.26220614828209765</c:v>
                </c:pt>
                <c:pt idx="2">
                  <c:v>0.18279569892473124</c:v>
                </c:pt>
                <c:pt idx="3">
                  <c:v>0.14118111012520954</c:v>
                </c:pt>
                <c:pt idx="4">
                  <c:v>0.20461834509300836</c:v>
                </c:pt>
                <c:pt idx="5">
                  <c:v>0.30718954248366032</c:v>
                </c:pt>
                <c:pt idx="6">
                  <c:v>0.23815485569970005</c:v>
                </c:pt>
                <c:pt idx="7">
                  <c:v>0.15690376569037659</c:v>
                </c:pt>
                <c:pt idx="8">
                  <c:v>0.13675213675213677</c:v>
                </c:pt>
              </c:numCache>
            </c:numRef>
          </c:val>
        </c:ser>
        <c:ser>
          <c:idx val="7"/>
          <c:order val="2"/>
          <c:spPr>
            <a:solidFill>
              <a:srgbClr val="F79646">
                <a:lumMod val="75000"/>
              </a:srgbClr>
            </a:solidFill>
          </c:spPr>
          <c:cat>
            <c:strRef>
              <c:f>Manitoba!$A$256:$A$264</c:f>
              <c:strCache>
                <c:ptCount val="9"/>
                <c:pt idx="0">
                  <c:v>Disability Tax Measures</c:v>
                </c:pt>
                <c:pt idx="1">
                  <c:v>CPP-D</c:v>
                </c:pt>
                <c:pt idx="2">
                  <c:v>EI Sickness</c:v>
                </c:pt>
                <c:pt idx="3">
                  <c:v>Veterans' Disability Pensions &amp; Awards</c:v>
                </c:pt>
                <c:pt idx="4">
                  <c:v>Provincial SA for Disabled </c:v>
                </c:pt>
                <c:pt idx="5">
                  <c:v>First Nations SA for Disabled </c:v>
                </c:pt>
                <c:pt idx="6">
                  <c:v>Total SA, incl. FN</c:v>
                </c:pt>
                <c:pt idx="7">
                  <c:v>Workers' Compensation </c:v>
                </c:pt>
                <c:pt idx="8">
                  <c:v>Private Disability Insurance</c:v>
                </c:pt>
              </c:strCache>
            </c:strRef>
          </c:cat>
          <c:val>
            <c:numRef>
              <c:f>Manitoba!$I$256:$I$264</c:f>
              <c:numCache>
                <c:formatCode>0.0%</c:formatCode>
                <c:ptCount val="9"/>
                <c:pt idx="0">
                  <c:v>0.33823768115942038</c:v>
                </c:pt>
                <c:pt idx="1">
                  <c:v>0.34900542495479203</c:v>
                </c:pt>
                <c:pt idx="2">
                  <c:v>0.22580645161290339</c:v>
                </c:pt>
                <c:pt idx="3">
                  <c:v>5.3682342502218205E-2</c:v>
                </c:pt>
                <c:pt idx="4">
                  <c:v>0.25080179602309166</c:v>
                </c:pt>
                <c:pt idx="5">
                  <c:v>0.35511982570806117</c:v>
                </c:pt>
                <c:pt idx="6">
                  <c:v>0.28490944805405061</c:v>
                </c:pt>
                <c:pt idx="7">
                  <c:v>0.1140167364016737</c:v>
                </c:pt>
                <c:pt idx="8">
                  <c:v>0.17948717948717949</c:v>
                </c:pt>
              </c:numCache>
            </c:numRef>
          </c:val>
        </c:ser>
        <c:dLbls/>
        <c:gapWidth val="75"/>
        <c:axId val="94551424"/>
        <c:axId val="94561408"/>
      </c:barChart>
      <c:catAx>
        <c:axId val="94551424"/>
        <c:scaling>
          <c:orientation val="minMax"/>
        </c:scaling>
        <c:axPos val="b"/>
        <c:tickLblPos val="nextTo"/>
        <c:txPr>
          <a:bodyPr/>
          <a:lstStyle/>
          <a:p>
            <a:pPr>
              <a:defRPr sz="1100" b="1"/>
            </a:pPr>
            <a:endParaRPr lang="en-US"/>
          </a:p>
        </c:txPr>
        <c:crossAx val="94561408"/>
        <c:crosses val="autoZero"/>
        <c:auto val="1"/>
        <c:lblAlgn val="ctr"/>
        <c:lblOffset val="100"/>
      </c:catAx>
      <c:valAx>
        <c:axId val="94561408"/>
        <c:scaling>
          <c:orientation val="minMax"/>
        </c:scaling>
        <c:axPos val="l"/>
        <c:majorGridlines/>
        <c:numFmt formatCode="0%" sourceLinked="0"/>
        <c:tickLblPos val="nextTo"/>
        <c:crossAx val="94551424"/>
        <c:crosses val="autoZero"/>
        <c:crossBetween val="between"/>
      </c:valAx>
    </c:plotArea>
    <c:plotVisOnly val="1"/>
    <c:dispBlanksAs val="gap"/>
  </c:chart>
  <c:userShapes r:id="rId1"/>
</c:chartSpace>
</file>

<file path=xl/charts/chart4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Estimated Expenditures from 2005-06 to </a:t>
            </a:r>
          </a:p>
          <a:p>
            <a:pPr>
              <a:defRPr lang="en-US"/>
            </a:pPr>
            <a:r>
              <a:rPr lang="en-US" sz="1800" b="1" i="0" baseline="0"/>
              <a:t>2009-10 and 2010-11 </a:t>
            </a:r>
            <a:endParaRPr lang="en-US"/>
          </a:p>
          <a:p>
            <a:pPr>
              <a:defRPr lang="en-US"/>
            </a:pPr>
            <a:r>
              <a:rPr lang="en-US" sz="1800" b="1" i="0" baseline="0"/>
              <a:t>MANITOBA</a:t>
            </a:r>
            <a:endParaRPr lang="en-US"/>
          </a:p>
        </c:rich>
      </c:tx>
    </c:title>
    <c:plotArea>
      <c:layout>
        <c:manualLayout>
          <c:layoutTarget val="inner"/>
          <c:xMode val="edge"/>
          <c:yMode val="edge"/>
          <c:x val="6.1545586400516966E-2"/>
          <c:y val="0.20363799157972481"/>
          <c:w val="0.93552825756624469"/>
          <c:h val="0.64675571670784493"/>
        </c:manualLayout>
      </c:layout>
      <c:barChart>
        <c:barDir val="col"/>
        <c:grouping val="clustered"/>
        <c:ser>
          <c:idx val="1"/>
          <c:order val="0"/>
          <c:tx>
            <c:strRef>
              <c:f>Manitoba!$E$254</c:f>
              <c:strCache>
                <c:ptCount val="1"/>
                <c:pt idx="0">
                  <c:v>% change 05-06 to 09-10</c:v>
                </c:pt>
              </c:strCache>
            </c:strRef>
          </c:tx>
          <c:spPr>
            <a:solidFill>
              <a:schemeClr val="accent1"/>
            </a:solidFill>
          </c:spPr>
          <c:cat>
            <c:strRef>
              <c:f>Manitoba!$A$256:$A$264</c:f>
              <c:strCache>
                <c:ptCount val="9"/>
                <c:pt idx="0">
                  <c:v>Disability Tax Measures</c:v>
                </c:pt>
                <c:pt idx="1">
                  <c:v>CPP-D</c:v>
                </c:pt>
                <c:pt idx="2">
                  <c:v>EI Sickness</c:v>
                </c:pt>
                <c:pt idx="3">
                  <c:v>Veterans' Disability Pensions &amp; Awards</c:v>
                </c:pt>
                <c:pt idx="4">
                  <c:v>Provincial SA for Disabled </c:v>
                </c:pt>
                <c:pt idx="5">
                  <c:v>First Nations SA for Disabled </c:v>
                </c:pt>
                <c:pt idx="6">
                  <c:v>Total SA, incl. FN</c:v>
                </c:pt>
                <c:pt idx="7">
                  <c:v>Workers' Compensation </c:v>
                </c:pt>
                <c:pt idx="8">
                  <c:v>Private Disability Insurance</c:v>
                </c:pt>
              </c:strCache>
            </c:strRef>
          </c:cat>
          <c:val>
            <c:numRef>
              <c:f>Manitoba!$E$256:$E$264</c:f>
              <c:numCache>
                <c:formatCode>0.0%</c:formatCode>
                <c:ptCount val="9"/>
                <c:pt idx="0">
                  <c:v>0.18753623188405785</c:v>
                </c:pt>
                <c:pt idx="1">
                  <c:v>0.19891500904159132</c:v>
                </c:pt>
                <c:pt idx="2">
                  <c:v>0.25806451612903236</c:v>
                </c:pt>
                <c:pt idx="3">
                  <c:v>0.12588731144631751</c:v>
                </c:pt>
                <c:pt idx="4">
                  <c:v>0.13470173187940987</c:v>
                </c:pt>
                <c:pt idx="5">
                  <c:v>0.25127087872185933</c:v>
                </c:pt>
                <c:pt idx="6">
                  <c:v>0.17281498909922952</c:v>
                </c:pt>
                <c:pt idx="7">
                  <c:v>0.2207112970711298</c:v>
                </c:pt>
                <c:pt idx="8">
                  <c:v>6.8376068376068383E-2</c:v>
                </c:pt>
              </c:numCache>
            </c:numRef>
          </c:val>
        </c:ser>
        <c:ser>
          <c:idx val="4"/>
          <c:order val="1"/>
          <c:tx>
            <c:strRef>
              <c:f>Manitoba!$G$254</c:f>
              <c:strCache>
                <c:ptCount val="1"/>
                <c:pt idx="0">
                  <c:v>% change 05-06 to 10-11</c:v>
                </c:pt>
              </c:strCache>
            </c:strRef>
          </c:tx>
          <c:spPr>
            <a:solidFill>
              <a:schemeClr val="accent3"/>
            </a:solidFill>
          </c:spPr>
          <c:cat>
            <c:strRef>
              <c:f>Manitoba!$A$256:$A$264</c:f>
              <c:strCache>
                <c:ptCount val="9"/>
                <c:pt idx="0">
                  <c:v>Disability Tax Measures</c:v>
                </c:pt>
                <c:pt idx="1">
                  <c:v>CPP-D</c:v>
                </c:pt>
                <c:pt idx="2">
                  <c:v>EI Sickness</c:v>
                </c:pt>
                <c:pt idx="3">
                  <c:v>Veterans' Disability Pensions &amp; Awards</c:v>
                </c:pt>
                <c:pt idx="4">
                  <c:v>Provincial SA for Disabled </c:v>
                </c:pt>
                <c:pt idx="5">
                  <c:v>First Nations SA for Disabled </c:v>
                </c:pt>
                <c:pt idx="6">
                  <c:v>Total SA, incl. FN</c:v>
                </c:pt>
                <c:pt idx="7">
                  <c:v>Workers' Compensation </c:v>
                </c:pt>
                <c:pt idx="8">
                  <c:v>Private Disability Insurance</c:v>
                </c:pt>
              </c:strCache>
            </c:strRef>
          </c:cat>
          <c:val>
            <c:numRef>
              <c:f>Manitoba!$G$256:$G$264</c:f>
              <c:numCache>
                <c:formatCode>0.0%</c:formatCode>
                <c:ptCount val="9"/>
                <c:pt idx="0">
                  <c:v>0.26979710144927532</c:v>
                </c:pt>
                <c:pt idx="1">
                  <c:v>0.26220614828209765</c:v>
                </c:pt>
                <c:pt idx="2">
                  <c:v>0.18279569892473124</c:v>
                </c:pt>
                <c:pt idx="3">
                  <c:v>0.14118111012520954</c:v>
                </c:pt>
                <c:pt idx="4">
                  <c:v>0.20461834509300836</c:v>
                </c:pt>
                <c:pt idx="5">
                  <c:v>0.30718954248366032</c:v>
                </c:pt>
                <c:pt idx="6">
                  <c:v>0.23815485569970005</c:v>
                </c:pt>
                <c:pt idx="7">
                  <c:v>0.15690376569037659</c:v>
                </c:pt>
                <c:pt idx="8">
                  <c:v>0.13675213675213677</c:v>
                </c:pt>
              </c:numCache>
            </c:numRef>
          </c:val>
        </c:ser>
        <c:dLbls/>
        <c:gapWidth val="75"/>
        <c:axId val="96057600"/>
        <c:axId val="96067584"/>
      </c:barChart>
      <c:catAx>
        <c:axId val="96057600"/>
        <c:scaling>
          <c:orientation val="minMax"/>
        </c:scaling>
        <c:axPos val="b"/>
        <c:majorTickMark val="none"/>
        <c:tickLblPos val="nextTo"/>
        <c:txPr>
          <a:bodyPr/>
          <a:lstStyle/>
          <a:p>
            <a:pPr>
              <a:defRPr lang="en-US" sz="1100" b="1" i="0" baseline="0"/>
            </a:pPr>
            <a:endParaRPr lang="en-US"/>
          </a:p>
        </c:txPr>
        <c:crossAx val="96067584"/>
        <c:crosses val="autoZero"/>
        <c:auto val="1"/>
        <c:lblAlgn val="ctr"/>
        <c:lblOffset val="100"/>
      </c:catAx>
      <c:valAx>
        <c:axId val="96067584"/>
        <c:scaling>
          <c:orientation val="minMax"/>
        </c:scaling>
        <c:axPos val="l"/>
        <c:majorGridlines/>
        <c:numFmt formatCode="0%" sourceLinked="0"/>
        <c:majorTickMark val="none"/>
        <c:tickLblPos val="nextTo"/>
        <c:txPr>
          <a:bodyPr/>
          <a:lstStyle/>
          <a:p>
            <a:pPr>
              <a:defRPr lang="en-US"/>
            </a:pPr>
            <a:endParaRPr lang="en-US"/>
          </a:p>
        </c:txPr>
        <c:crossAx val="96057600"/>
        <c:crosses val="autoZero"/>
        <c:crossBetween val="between"/>
      </c:valAx>
    </c:plotArea>
    <c:plotVisOnly val="1"/>
    <c:dispBlanksAs val="gap"/>
  </c:chart>
  <c:userShapes r:id="rId1"/>
</c:chartSpace>
</file>

<file path=xl/charts/chart4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a:t>
            </a:r>
            <a:endParaRPr lang="en-CA"/>
          </a:p>
          <a:p>
            <a:pPr>
              <a:defRPr/>
            </a:pPr>
            <a:r>
              <a:rPr lang="en-US" sz="1800" b="1" i="0" baseline="0"/>
              <a:t>PERCENTAGE INCREASE FROM 2005-06 TO </a:t>
            </a:r>
            <a:endParaRPr lang="en-CA"/>
          </a:p>
          <a:p>
            <a:pPr>
              <a:defRPr/>
            </a:pPr>
            <a:r>
              <a:rPr lang="en-US" sz="1800" b="1" i="0" baseline="0"/>
              <a:t>2009-10, 2010-11 AND 2011-12</a:t>
            </a:r>
          </a:p>
          <a:p>
            <a:pPr>
              <a:defRPr/>
            </a:pPr>
            <a:r>
              <a:rPr lang="en-US" sz="1800" b="1" i="0" baseline="0"/>
              <a:t>MANITOBA</a:t>
            </a:r>
            <a:endParaRPr lang="en-CA"/>
          </a:p>
        </c:rich>
      </c:tx>
    </c:title>
    <c:plotArea>
      <c:layout>
        <c:manualLayout>
          <c:layoutTarget val="inner"/>
          <c:xMode val="edge"/>
          <c:yMode val="edge"/>
          <c:x val="7.2738451446112851E-2"/>
          <c:y val="0.20394223015031435"/>
          <c:w val="0.92433214127215968"/>
          <c:h val="0.72533472844561053"/>
        </c:manualLayout>
      </c:layout>
      <c:barChart>
        <c:barDir val="col"/>
        <c:grouping val="clustered"/>
        <c:ser>
          <c:idx val="0"/>
          <c:order val="0"/>
          <c:tx>
            <c:strRef>
              <c:f>Manitoba!$B$274</c:f>
              <c:strCache>
                <c:ptCount val="1"/>
                <c:pt idx="0">
                  <c:v>2009-10</c:v>
                </c:pt>
              </c:strCache>
            </c:strRef>
          </c:tx>
          <c:dLbls>
            <c:txPr>
              <a:bodyPr/>
              <a:lstStyle/>
              <a:p>
                <a:pPr>
                  <a:defRPr sz="1400" b="1"/>
                </a:pPr>
                <a:endParaRPr lang="en-US"/>
              </a:p>
            </c:txPr>
            <c:showVal val="1"/>
          </c:dLbls>
          <c:cat>
            <c:strRef>
              <c:f>Manitoba!$A$275:$A$277</c:f>
              <c:strCache>
                <c:ptCount val="3"/>
                <c:pt idx="0">
                  <c:v>Total SA for the Disabled incl. FN</c:v>
                </c:pt>
                <c:pt idx="1">
                  <c:v>Total Income Support for the Disabled</c:v>
                </c:pt>
                <c:pt idx="2">
                  <c:v>Total Income Support for the Disabled excl. SA</c:v>
                </c:pt>
              </c:strCache>
            </c:strRef>
          </c:cat>
          <c:val>
            <c:numRef>
              <c:f>Manitoba!$B$275:$B$277</c:f>
              <c:numCache>
                <c:formatCode>0.0%</c:formatCode>
                <c:ptCount val="3"/>
                <c:pt idx="0">
                  <c:v>0.17281498909922952</c:v>
                </c:pt>
                <c:pt idx="1">
                  <c:v>0.16555713044041223</c:v>
                </c:pt>
                <c:pt idx="2">
                  <c:v>0.16215631220364776</c:v>
                </c:pt>
              </c:numCache>
            </c:numRef>
          </c:val>
        </c:ser>
        <c:ser>
          <c:idx val="2"/>
          <c:order val="1"/>
          <c:tx>
            <c:strRef>
              <c:f>Manitoba!$D$274</c:f>
              <c:strCache>
                <c:ptCount val="1"/>
                <c:pt idx="0">
                  <c:v>2010-11</c:v>
                </c:pt>
              </c:strCache>
            </c:strRef>
          </c:tx>
          <c:dLbls>
            <c:dLbl>
              <c:idx val="0"/>
              <c:layout>
                <c:manualLayout>
                  <c:x val="1.464703640861126E-3"/>
                  <c:y val="1.2106083608871186E-2"/>
                </c:manualLayout>
              </c:layout>
              <c:showVal val="1"/>
            </c:dLbl>
            <c:dLbl>
              <c:idx val="2"/>
              <c:layout>
                <c:manualLayout>
                  <c:x val="0"/>
                  <c:y val="8.0707224059141189E-3"/>
                </c:manualLayout>
              </c:layout>
              <c:showVal val="1"/>
            </c:dLbl>
            <c:txPr>
              <a:bodyPr/>
              <a:lstStyle/>
              <a:p>
                <a:pPr>
                  <a:defRPr sz="1400" b="1"/>
                </a:pPr>
                <a:endParaRPr lang="en-US"/>
              </a:p>
            </c:txPr>
            <c:showVal val="1"/>
          </c:dLbls>
          <c:cat>
            <c:strRef>
              <c:f>Manitoba!$A$275:$A$277</c:f>
              <c:strCache>
                <c:ptCount val="3"/>
                <c:pt idx="0">
                  <c:v>Total SA for the Disabled incl. FN</c:v>
                </c:pt>
                <c:pt idx="1">
                  <c:v>Total Income Support for the Disabled</c:v>
                </c:pt>
                <c:pt idx="2">
                  <c:v>Total Income Support for the Disabled excl. SA</c:v>
                </c:pt>
              </c:strCache>
            </c:strRef>
          </c:cat>
          <c:val>
            <c:numRef>
              <c:f>Manitoba!$D$275:$D$277</c:f>
              <c:numCache>
                <c:formatCode>0.0%</c:formatCode>
                <c:ptCount val="3"/>
                <c:pt idx="0">
                  <c:v>0.23815485569970005</c:v>
                </c:pt>
                <c:pt idx="1">
                  <c:v>0.20451748604298445</c:v>
                </c:pt>
                <c:pt idx="2">
                  <c:v>0.18875600796206657</c:v>
                </c:pt>
              </c:numCache>
            </c:numRef>
          </c:val>
        </c:ser>
        <c:ser>
          <c:idx val="4"/>
          <c:order val="2"/>
          <c:tx>
            <c:strRef>
              <c:f>Manitoba!$F$274</c:f>
              <c:strCache>
                <c:ptCount val="1"/>
                <c:pt idx="0">
                  <c:v>2011-12</c:v>
                </c:pt>
              </c:strCache>
            </c:strRef>
          </c:tx>
          <c:spPr>
            <a:solidFill>
              <a:srgbClr val="F79646">
                <a:lumMod val="75000"/>
              </a:srgbClr>
            </a:solidFill>
          </c:spPr>
          <c:dLbls>
            <c:dLbl>
              <c:idx val="0"/>
              <c:layout>
                <c:manualLayout>
                  <c:x val="1.464703640861126E-3"/>
                  <c:y val="6.0530418044355931E-3"/>
                </c:manualLayout>
              </c:layout>
              <c:showVal val="1"/>
            </c:dLbl>
            <c:dLbl>
              <c:idx val="1"/>
              <c:layout>
                <c:manualLayout>
                  <c:x val="2.929407281722269E-3"/>
                  <c:y val="6.053041804435659E-3"/>
                </c:manualLayout>
              </c:layout>
              <c:showVal val="1"/>
            </c:dLbl>
            <c:txPr>
              <a:bodyPr/>
              <a:lstStyle/>
              <a:p>
                <a:pPr>
                  <a:defRPr sz="1400" b="1"/>
                </a:pPr>
                <a:endParaRPr lang="en-US"/>
              </a:p>
            </c:txPr>
            <c:showVal val="1"/>
          </c:dLbls>
          <c:cat>
            <c:strRef>
              <c:f>Manitoba!$A$275:$A$277</c:f>
              <c:strCache>
                <c:ptCount val="3"/>
                <c:pt idx="0">
                  <c:v>Total SA for the Disabled incl. FN</c:v>
                </c:pt>
                <c:pt idx="1">
                  <c:v>Total Income Support for the Disabled</c:v>
                </c:pt>
                <c:pt idx="2">
                  <c:v>Total Income Support for the Disabled excl. SA</c:v>
                </c:pt>
              </c:strCache>
            </c:strRef>
          </c:cat>
          <c:val>
            <c:numRef>
              <c:f>Manitoba!$F$275:$F$277</c:f>
              <c:numCache>
                <c:formatCode>0.0%</c:formatCode>
                <c:ptCount val="3"/>
                <c:pt idx="0">
                  <c:v>0.28490944805405061</c:v>
                </c:pt>
                <c:pt idx="1">
                  <c:v>0.23162592857369158</c:v>
                </c:pt>
                <c:pt idx="2">
                  <c:v>0.20665884485297692</c:v>
                </c:pt>
              </c:numCache>
            </c:numRef>
          </c:val>
        </c:ser>
        <c:dLbls/>
        <c:gapWidth val="75"/>
        <c:axId val="120064256"/>
        <c:axId val="120074240"/>
      </c:barChart>
      <c:catAx>
        <c:axId val="120064256"/>
        <c:scaling>
          <c:orientation val="minMax"/>
        </c:scaling>
        <c:delete val="1"/>
        <c:axPos val="b"/>
        <c:majorTickMark val="none"/>
        <c:tickLblPos val="none"/>
        <c:crossAx val="120074240"/>
        <c:crosses val="autoZero"/>
        <c:auto val="1"/>
        <c:lblAlgn val="ctr"/>
        <c:lblOffset val="100"/>
      </c:catAx>
      <c:valAx>
        <c:axId val="120074240"/>
        <c:scaling>
          <c:orientation val="minMax"/>
        </c:scaling>
        <c:axPos val="l"/>
        <c:majorGridlines/>
        <c:numFmt formatCode="0%" sourceLinked="0"/>
        <c:majorTickMark val="none"/>
        <c:tickLblPos val="nextTo"/>
        <c:crossAx val="120064256"/>
        <c:crosses val="autoZero"/>
        <c:crossBetween val="between"/>
      </c:valAx>
    </c:plotArea>
    <c:legend>
      <c:legendPos val="b"/>
      <c:layout>
        <c:manualLayout>
          <c:xMode val="edge"/>
          <c:yMode val="edge"/>
          <c:x val="0.30982253327761028"/>
          <c:y val="0.94652431479884513"/>
          <c:w val="0.39646667349426651"/>
          <c:h val="4.1369601592283624E-2"/>
        </c:manualLayout>
      </c:layout>
      <c:txPr>
        <a:bodyPr/>
        <a:lstStyle/>
        <a:p>
          <a:pPr>
            <a:defRPr sz="1400" b="1"/>
          </a:pPr>
          <a:endParaRPr lang="en-US"/>
        </a:p>
      </c:txPr>
    </c:legend>
    <c:plotVisOnly val="1"/>
    <c:dispBlanksAs val="gap"/>
  </c:chart>
  <c:userShapes r:id="rId1"/>
</c:chartSpace>
</file>

<file path=xl/charts/chart4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a:t>
            </a:r>
          </a:p>
          <a:p>
            <a:pPr>
              <a:defRPr lang="en-US"/>
            </a:pPr>
            <a:r>
              <a:rPr lang="en-US" sz="1800" b="1" i="0" baseline="0"/>
              <a:t>2009-10 AND 2010-11</a:t>
            </a:r>
            <a:endParaRPr lang="en-US"/>
          </a:p>
          <a:p>
            <a:pPr>
              <a:defRPr lang="en-US"/>
            </a:pPr>
            <a:r>
              <a:rPr lang="en-US" sz="1800" b="1" i="0" baseline="0"/>
              <a:t>MANITOBA</a:t>
            </a:r>
            <a:endParaRPr lang="en-US"/>
          </a:p>
        </c:rich>
      </c:tx>
    </c:title>
    <c:plotArea>
      <c:layout>
        <c:manualLayout>
          <c:layoutTarget val="inner"/>
          <c:xMode val="edge"/>
          <c:yMode val="edge"/>
          <c:x val="4.8377884250944414E-2"/>
          <c:y val="0.22178349854264626"/>
          <c:w val="0.93552825756624469"/>
          <c:h val="0.70642871657449835"/>
        </c:manualLayout>
      </c:layout>
      <c:barChart>
        <c:barDir val="col"/>
        <c:grouping val="clustered"/>
        <c:ser>
          <c:idx val="0"/>
          <c:order val="0"/>
          <c:tx>
            <c:strRef>
              <c:f>Manitoba!$B$274</c:f>
              <c:strCache>
                <c:ptCount val="1"/>
                <c:pt idx="0">
                  <c:v>2009-10</c:v>
                </c:pt>
              </c:strCache>
            </c:strRef>
          </c:tx>
          <c:dLbls>
            <c:txPr>
              <a:bodyPr/>
              <a:lstStyle/>
              <a:p>
                <a:pPr>
                  <a:defRPr lang="en-US" sz="1400" b="1" i="0" baseline="0"/>
                </a:pPr>
                <a:endParaRPr lang="en-US"/>
              </a:p>
            </c:txPr>
            <c:showVal val="1"/>
          </c:dLbls>
          <c:cat>
            <c:strRef>
              <c:f>Manitoba!$A$275:$A$277</c:f>
              <c:strCache>
                <c:ptCount val="3"/>
                <c:pt idx="0">
                  <c:v>Total SA for the Disabled incl. FN</c:v>
                </c:pt>
                <c:pt idx="1">
                  <c:v>Total Income Support for the Disabled</c:v>
                </c:pt>
                <c:pt idx="2">
                  <c:v>Total Income Support for the Disabled excl. SA</c:v>
                </c:pt>
              </c:strCache>
            </c:strRef>
          </c:cat>
          <c:val>
            <c:numRef>
              <c:f>Manitoba!$B$275:$B$277</c:f>
              <c:numCache>
                <c:formatCode>0.0%</c:formatCode>
                <c:ptCount val="3"/>
                <c:pt idx="0">
                  <c:v>0.17281498909922952</c:v>
                </c:pt>
                <c:pt idx="1">
                  <c:v>0.16555713044041223</c:v>
                </c:pt>
                <c:pt idx="2">
                  <c:v>0.16215631220364776</c:v>
                </c:pt>
              </c:numCache>
            </c:numRef>
          </c:val>
        </c:ser>
        <c:ser>
          <c:idx val="2"/>
          <c:order val="1"/>
          <c:tx>
            <c:strRef>
              <c:f>Manitoba!$D$274</c:f>
              <c:strCache>
                <c:ptCount val="1"/>
                <c:pt idx="0">
                  <c:v>2010-11</c:v>
                </c:pt>
              </c:strCache>
            </c:strRef>
          </c:tx>
          <c:spPr>
            <a:solidFill>
              <a:schemeClr val="accent3"/>
            </a:solidFill>
          </c:spPr>
          <c:dLbls>
            <c:dLbl>
              <c:idx val="0"/>
              <c:layout>
                <c:manualLayout>
                  <c:x val="1.4630780166191839E-3"/>
                  <c:y val="-1.4113172082272295E-2"/>
                </c:manualLayout>
              </c:layout>
              <c:showVal val="1"/>
            </c:dLbl>
            <c:dLbl>
              <c:idx val="2"/>
              <c:layout>
                <c:manualLayout>
                  <c:x val="2.9261560332383679E-3"/>
                  <c:y val="-2.6210176724220286E-2"/>
                </c:manualLayout>
              </c:layout>
              <c:showVal val="1"/>
            </c:dLbl>
            <c:txPr>
              <a:bodyPr/>
              <a:lstStyle/>
              <a:p>
                <a:pPr>
                  <a:defRPr lang="en-US" sz="1400" b="1" i="0" baseline="0"/>
                </a:pPr>
                <a:endParaRPr lang="en-US"/>
              </a:p>
            </c:txPr>
            <c:showVal val="1"/>
          </c:dLbls>
          <c:cat>
            <c:strRef>
              <c:f>Manitoba!$A$275:$A$277</c:f>
              <c:strCache>
                <c:ptCount val="3"/>
                <c:pt idx="0">
                  <c:v>Total SA for the Disabled incl. FN</c:v>
                </c:pt>
                <c:pt idx="1">
                  <c:v>Total Income Support for the Disabled</c:v>
                </c:pt>
                <c:pt idx="2">
                  <c:v>Total Income Support for the Disabled excl. SA</c:v>
                </c:pt>
              </c:strCache>
            </c:strRef>
          </c:cat>
          <c:val>
            <c:numRef>
              <c:f>Manitoba!$D$275:$D$277</c:f>
              <c:numCache>
                <c:formatCode>0.0%</c:formatCode>
                <c:ptCount val="3"/>
                <c:pt idx="0">
                  <c:v>0.23815485569970005</c:v>
                </c:pt>
                <c:pt idx="1">
                  <c:v>0.20451748604298445</c:v>
                </c:pt>
                <c:pt idx="2">
                  <c:v>0.18875600796206657</c:v>
                </c:pt>
              </c:numCache>
            </c:numRef>
          </c:val>
        </c:ser>
        <c:dLbls/>
        <c:gapWidth val="50"/>
        <c:axId val="136459776"/>
        <c:axId val="136461312"/>
      </c:barChart>
      <c:catAx>
        <c:axId val="136459776"/>
        <c:scaling>
          <c:orientation val="minMax"/>
        </c:scaling>
        <c:delete val="1"/>
        <c:axPos val="b"/>
        <c:majorTickMark val="none"/>
        <c:tickLblPos val="none"/>
        <c:crossAx val="136461312"/>
        <c:crosses val="autoZero"/>
        <c:auto val="1"/>
        <c:lblAlgn val="ctr"/>
        <c:lblOffset val="100"/>
      </c:catAx>
      <c:valAx>
        <c:axId val="136461312"/>
        <c:scaling>
          <c:orientation val="minMax"/>
        </c:scaling>
        <c:axPos val="l"/>
        <c:majorGridlines/>
        <c:numFmt formatCode="0%" sourceLinked="0"/>
        <c:majorTickMark val="none"/>
        <c:tickLblPos val="nextTo"/>
        <c:txPr>
          <a:bodyPr/>
          <a:lstStyle/>
          <a:p>
            <a:pPr>
              <a:defRPr lang="en-US"/>
            </a:pPr>
            <a:endParaRPr lang="en-US"/>
          </a:p>
        </c:txPr>
        <c:crossAx val="136459776"/>
        <c:crosses val="autoZero"/>
        <c:crossBetween val="between"/>
      </c:valAx>
    </c:plotArea>
    <c:legend>
      <c:legendPos val="b"/>
      <c:layout>
        <c:manualLayout>
          <c:xMode val="edge"/>
          <c:yMode val="edge"/>
          <c:x val="0.36487391608383923"/>
          <c:y val="0.95144481416334636"/>
          <c:w val="0.28780898882877143"/>
          <c:h val="3.6458181194714154E-2"/>
        </c:manualLayout>
      </c:layout>
      <c:txPr>
        <a:bodyPr/>
        <a:lstStyle/>
        <a:p>
          <a:pPr>
            <a:defRPr lang="en-US" sz="1400" b="1" i="0" baseline="0"/>
          </a:pPr>
          <a:endParaRPr lang="en-US"/>
        </a:p>
      </c:txPr>
    </c:legend>
    <c:plotVisOnly val="1"/>
    <c:dispBlanksAs val="gap"/>
  </c:chart>
  <c:userShapes r:id="rId1"/>
</c:chartSpace>
</file>

<file path=xl/charts/chart4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PERSONS WITH DISABILITIES:</a:t>
            </a:r>
            <a:endParaRPr lang="en-US"/>
          </a:p>
          <a:p>
            <a:pPr>
              <a:defRPr lang="en-US"/>
            </a:pPr>
            <a:r>
              <a:rPr lang="en-US" sz="1800" b="1" i="0" baseline="0"/>
              <a:t>PERCENTAGE CHANGE FROM 2005 TO 2013</a:t>
            </a:r>
            <a:endParaRPr lang="en-US"/>
          </a:p>
          <a:p>
            <a:pPr>
              <a:defRPr lang="en-US"/>
            </a:pPr>
            <a:r>
              <a:rPr lang="en-US" sz="1800" b="1" i="0" baseline="0"/>
              <a:t>MANITOBA</a:t>
            </a:r>
            <a:endParaRPr lang="en-US"/>
          </a:p>
        </c:rich>
      </c:tx>
    </c:title>
    <c:plotArea>
      <c:layout/>
      <c:barChart>
        <c:barDir val="col"/>
        <c:grouping val="clustered"/>
        <c:ser>
          <c:idx val="0"/>
          <c:order val="0"/>
          <c:spPr>
            <a:solidFill>
              <a:srgbClr val="F79646"/>
            </a:solidFill>
          </c:spPr>
          <c:dLbls>
            <c:dLbl>
              <c:idx val="0"/>
              <c:layout>
                <c:manualLayout>
                  <c:x val="0"/>
                  <c:y val="-1.4110031581710735E-2"/>
                </c:manualLayout>
              </c:layout>
              <c:showVal val="1"/>
            </c:dLbl>
            <c:dLbl>
              <c:idx val="1"/>
              <c:layout>
                <c:manualLayout>
                  <c:x val="0"/>
                  <c:y val="6.0471563921617464E-3"/>
                </c:manualLayout>
              </c:layout>
              <c:showVal val="1"/>
            </c:dLbl>
            <c:dLbl>
              <c:idx val="2"/>
              <c:layout>
                <c:manualLayout>
                  <c:x val="0"/>
                  <c:y val="8.0628751895490004E-3"/>
                </c:manualLayout>
              </c:layout>
              <c:showVal val="1"/>
            </c:dLbl>
            <c:txPr>
              <a:bodyPr/>
              <a:lstStyle/>
              <a:p>
                <a:pPr>
                  <a:defRPr sz="1400" b="1"/>
                </a:pPr>
                <a:endParaRPr lang="en-US"/>
              </a:p>
            </c:txPr>
            <c:showVal val="1"/>
          </c:dLbls>
          <c:cat>
            <c:strRef>
              <c:f>Manitoba!$A$269:$A$271</c:f>
              <c:strCache>
                <c:ptCount val="3"/>
                <c:pt idx="0">
                  <c:v>Total SA for the Disabled incl. FN</c:v>
                </c:pt>
                <c:pt idx="1">
                  <c:v>Total Income Support for the Disabled</c:v>
                </c:pt>
                <c:pt idx="2">
                  <c:v>Total Income Support for the Disabled excl. SA</c:v>
                </c:pt>
              </c:strCache>
            </c:strRef>
          </c:cat>
          <c:val>
            <c:numRef>
              <c:f>Manitoba!$M$269:$M$271</c:f>
              <c:numCache>
                <c:formatCode>0.0%</c:formatCode>
                <c:ptCount val="3"/>
                <c:pt idx="0">
                  <c:v>0.34300515897856543</c:v>
                </c:pt>
                <c:pt idx="1">
                  <c:v>0.32244252244210903</c:v>
                </c:pt>
                <c:pt idx="2">
                  <c:v>0.31280747819332261</c:v>
                </c:pt>
              </c:numCache>
            </c:numRef>
          </c:val>
        </c:ser>
        <c:dLbls/>
        <c:gapWidth val="50"/>
        <c:axId val="136486272"/>
        <c:axId val="136811648"/>
      </c:barChart>
      <c:catAx>
        <c:axId val="136486272"/>
        <c:scaling>
          <c:orientation val="minMax"/>
        </c:scaling>
        <c:delete val="1"/>
        <c:axPos val="b"/>
        <c:majorTickMark val="none"/>
        <c:tickLblPos val="none"/>
        <c:crossAx val="136811648"/>
        <c:crosses val="autoZero"/>
        <c:auto val="1"/>
        <c:lblAlgn val="ctr"/>
        <c:lblOffset val="100"/>
      </c:catAx>
      <c:valAx>
        <c:axId val="136811648"/>
        <c:scaling>
          <c:orientation val="minMax"/>
        </c:scaling>
        <c:axPos val="l"/>
        <c:majorGridlines/>
        <c:numFmt formatCode="0%" sourceLinked="0"/>
        <c:majorTickMark val="none"/>
        <c:tickLblPos val="nextTo"/>
        <c:txPr>
          <a:bodyPr/>
          <a:lstStyle/>
          <a:p>
            <a:pPr>
              <a:defRPr lang="en-US"/>
            </a:pPr>
            <a:endParaRPr lang="en-US"/>
          </a:p>
        </c:txPr>
        <c:crossAx val="136486272"/>
        <c:crosses val="autoZero"/>
        <c:crossBetween val="between"/>
      </c:valAx>
    </c:plotArea>
    <c:plotVisOnly val="1"/>
    <c:dispBlanksAs val="gap"/>
  </c:chart>
  <c:userShapes r:id="rId1"/>
</c:chartSpace>
</file>

<file path=xl/charts/chart4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2009-10</a:t>
            </a:r>
          </a:p>
          <a:p>
            <a:pPr>
              <a:defRPr lang="en-US"/>
            </a:pPr>
            <a:r>
              <a:rPr lang="en-US" sz="1800" b="1" i="0" baseline="0"/>
              <a:t>MANITOBA</a:t>
            </a:r>
            <a:endParaRPr lang="en-US"/>
          </a:p>
        </c:rich>
      </c:tx>
    </c:title>
    <c:plotArea>
      <c:layout>
        <c:manualLayout>
          <c:layoutTarget val="inner"/>
          <c:xMode val="edge"/>
          <c:yMode val="edge"/>
          <c:x val="6.1566637418147996E-2"/>
          <c:y val="0.17340736788074623"/>
          <c:w val="0.93550620568785758"/>
          <c:h val="0.80421307449176116"/>
        </c:manualLayout>
      </c:layout>
      <c:barChart>
        <c:barDir val="col"/>
        <c:grouping val="clustered"/>
        <c:ser>
          <c:idx val="0"/>
          <c:order val="0"/>
          <c:dLbls>
            <c:dLbl>
              <c:idx val="0"/>
              <c:layout>
                <c:manualLayout>
                  <c:x val="0"/>
                  <c:y val="-2.4188625568646972E-2"/>
                </c:manualLayout>
              </c:layout>
              <c:showVal val="1"/>
            </c:dLbl>
            <c:txPr>
              <a:bodyPr/>
              <a:lstStyle/>
              <a:p>
                <a:pPr>
                  <a:defRPr lang="en-US" sz="1400" b="1" i="0" baseline="0"/>
                </a:pPr>
                <a:endParaRPr lang="en-US"/>
              </a:p>
            </c:txPr>
            <c:showVal val="1"/>
          </c:dLbls>
          <c:cat>
            <c:strRef>
              <c:f>Manitoba!$A$269:$A$271</c:f>
              <c:strCache>
                <c:ptCount val="3"/>
                <c:pt idx="0">
                  <c:v>Total SA for the Disabled incl. FN</c:v>
                </c:pt>
                <c:pt idx="1">
                  <c:v>Total Income Support for the Disabled</c:v>
                </c:pt>
                <c:pt idx="2">
                  <c:v>Total Income Support for the Disabled excl. SA</c:v>
                </c:pt>
              </c:strCache>
            </c:strRef>
          </c:cat>
          <c:val>
            <c:numRef>
              <c:f>Manitoba!$E$269:$E$271</c:f>
              <c:numCache>
                <c:formatCode>0.0%</c:formatCode>
                <c:ptCount val="3"/>
                <c:pt idx="0">
                  <c:v>0.17281498909922952</c:v>
                </c:pt>
                <c:pt idx="1">
                  <c:v>0.16555713044041223</c:v>
                </c:pt>
                <c:pt idx="2">
                  <c:v>0.16215631220364776</c:v>
                </c:pt>
              </c:numCache>
            </c:numRef>
          </c:val>
        </c:ser>
        <c:dLbls/>
        <c:gapWidth val="50"/>
        <c:axId val="136942720"/>
        <c:axId val="136944256"/>
      </c:barChart>
      <c:catAx>
        <c:axId val="136942720"/>
        <c:scaling>
          <c:orientation val="minMax"/>
        </c:scaling>
        <c:axPos val="b"/>
        <c:majorTickMark val="none"/>
        <c:tickLblPos val="none"/>
        <c:txPr>
          <a:bodyPr/>
          <a:lstStyle/>
          <a:p>
            <a:pPr>
              <a:defRPr lang="en-US"/>
            </a:pPr>
            <a:endParaRPr lang="en-US"/>
          </a:p>
        </c:txPr>
        <c:crossAx val="136944256"/>
        <c:crosses val="autoZero"/>
        <c:auto val="1"/>
        <c:lblAlgn val="ctr"/>
        <c:lblOffset val="100"/>
      </c:catAx>
      <c:valAx>
        <c:axId val="136944256"/>
        <c:scaling>
          <c:orientation val="minMax"/>
          <c:max val="0.2"/>
          <c:min val="0"/>
        </c:scaling>
        <c:axPos val="l"/>
        <c:majorGridlines/>
        <c:numFmt formatCode="0%" sourceLinked="0"/>
        <c:majorTickMark val="none"/>
        <c:tickLblPos val="nextTo"/>
        <c:txPr>
          <a:bodyPr/>
          <a:lstStyle/>
          <a:p>
            <a:pPr>
              <a:defRPr lang="en-US"/>
            </a:pPr>
            <a:endParaRPr lang="en-US"/>
          </a:p>
        </c:txPr>
        <c:crossAx val="136942720"/>
        <c:crosses val="autoZero"/>
        <c:crossBetween val="between"/>
      </c:valAx>
    </c:plotArea>
    <c:plotVisOnly val="1"/>
    <c:dispBlanksAs val="gap"/>
  </c:chart>
  <c:userShapes r:id="rId1"/>
</c:chartSpace>
</file>

<file path=xl/charts/chart4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a:t>
            </a:r>
            <a:endParaRPr lang="en-CA" sz="1800" b="1" i="0" baseline="0"/>
          </a:p>
          <a:p>
            <a:pPr>
              <a:defRPr/>
            </a:pPr>
            <a:r>
              <a:rPr lang="en-US" sz="1800" b="1" i="0" baseline="0"/>
              <a:t>ESTIMATED EXPENDITURES BY PROGRAM FOR BRITISH COLUMBIA</a:t>
            </a:r>
            <a:endParaRPr lang="en-CA" sz="1800" b="1" i="0" baseline="0"/>
          </a:p>
          <a:p>
            <a:pPr>
              <a:defRPr/>
            </a:pPr>
            <a:r>
              <a:rPr lang="en-US" sz="1800" b="1" i="0" baseline="0"/>
              <a:t>2005 AND 2013 </a:t>
            </a:r>
            <a:endParaRPr lang="en-CA" sz="1800" b="1" i="0" baseline="0"/>
          </a:p>
          <a:p>
            <a:pPr>
              <a:defRPr/>
            </a:pPr>
            <a:r>
              <a:rPr lang="en-US" sz="1800" b="1" i="0" baseline="0"/>
              <a:t>($M)</a:t>
            </a:r>
            <a:endParaRPr lang="en-CA"/>
          </a:p>
          <a:p>
            <a:pPr>
              <a:defRPr/>
            </a:pPr>
            <a:endParaRPr lang="en-CA"/>
          </a:p>
        </c:rich>
      </c:tx>
    </c:title>
    <c:plotArea>
      <c:layout/>
      <c:barChart>
        <c:barDir val="col"/>
        <c:grouping val="clustered"/>
        <c:ser>
          <c:idx val="0"/>
          <c:order val="0"/>
          <c:tx>
            <c:strRef>
              <c:f>BC!$B$254</c:f>
              <c:strCache>
                <c:ptCount val="1"/>
                <c:pt idx="0">
                  <c:v>2005-06</c:v>
                </c:pt>
              </c:strCache>
            </c:strRef>
          </c:tx>
          <c:cat>
            <c:strRef>
              <c:f>(BC!$A$255:$A$260,BC!$A$262:$A$263)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(BC!$B$255:$B$260,BC!$B$262:$B$263)</c:f>
              <c:numCache>
                <c:formatCode>#,##0.0</c:formatCode>
                <c:ptCount val="8"/>
                <c:pt idx="0">
                  <c:v>222.29999999999998</c:v>
                </c:pt>
                <c:pt idx="1">
                  <c:v>505.9</c:v>
                </c:pt>
                <c:pt idx="2">
                  <c:v>131.4</c:v>
                </c:pt>
                <c:pt idx="3">
                  <c:v>329.54400000000004</c:v>
                </c:pt>
                <c:pt idx="4">
                  <c:v>576.1</c:v>
                </c:pt>
                <c:pt idx="5">
                  <c:v>51.81</c:v>
                </c:pt>
                <c:pt idx="6">
                  <c:v>642.20000000000005</c:v>
                </c:pt>
                <c:pt idx="7">
                  <c:v>623</c:v>
                </c:pt>
              </c:numCache>
            </c:numRef>
          </c:val>
        </c:ser>
        <c:ser>
          <c:idx val="10"/>
          <c:order val="1"/>
          <c:tx>
            <c:strRef>
              <c:f>BC!$L$254</c:f>
              <c:strCache>
                <c:ptCount val="1"/>
                <c:pt idx="0">
                  <c:v>2013-14</c:v>
                </c:pt>
              </c:strCache>
            </c:strRef>
          </c:tx>
          <c:spPr>
            <a:solidFill>
              <a:srgbClr val="F79646"/>
            </a:solidFill>
          </c:spPr>
          <c:cat>
            <c:strRef>
              <c:f>(BC!$A$255:$A$260,BC!$A$262:$A$263)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(BC!$L$255:$L$260,BC!$L$262:$L$263)</c:f>
              <c:numCache>
                <c:formatCode>#,##0.0</c:formatCode>
                <c:ptCount val="8"/>
                <c:pt idx="0">
                  <c:v>327.81124999999997</c:v>
                </c:pt>
                <c:pt idx="1">
                  <c:v>725.8</c:v>
                </c:pt>
                <c:pt idx="2">
                  <c:v>184.6</c:v>
                </c:pt>
                <c:pt idx="3">
                  <c:v>356.2</c:v>
                </c:pt>
                <c:pt idx="4">
                  <c:v>905.5</c:v>
                </c:pt>
                <c:pt idx="5">
                  <c:v>62.421999999999997</c:v>
                </c:pt>
                <c:pt idx="6">
                  <c:v>829.5</c:v>
                </c:pt>
                <c:pt idx="7">
                  <c:v>915</c:v>
                </c:pt>
              </c:numCache>
            </c:numRef>
          </c:val>
        </c:ser>
        <c:dLbls/>
        <c:axId val="137011200"/>
        <c:axId val="137012736"/>
      </c:barChart>
      <c:catAx>
        <c:axId val="137011200"/>
        <c:scaling>
          <c:orientation val="minMax"/>
        </c:scaling>
        <c:axPos val="b"/>
        <c:majorTickMark val="none"/>
        <c:tickLblPos val="nextTo"/>
        <c:txPr>
          <a:bodyPr/>
          <a:lstStyle/>
          <a:p>
            <a:pPr>
              <a:defRPr sz="1200" b="1"/>
            </a:pPr>
            <a:endParaRPr lang="en-US"/>
          </a:p>
        </c:txPr>
        <c:crossAx val="137012736"/>
        <c:crosses val="autoZero"/>
        <c:auto val="1"/>
        <c:lblAlgn val="ctr"/>
        <c:lblOffset val="100"/>
      </c:catAx>
      <c:valAx>
        <c:axId val="137012736"/>
        <c:scaling>
          <c:orientation val="minMax"/>
        </c:scaling>
        <c:axPos val="l"/>
        <c:majorGridlines/>
        <c:numFmt formatCode="&quot;$&quot;#,##0" sourceLinked="0"/>
        <c:majorTickMark val="none"/>
        <c:tickLblPos val="nextTo"/>
        <c:crossAx val="137011200"/>
        <c:crosses val="autoZero"/>
        <c:crossBetween val="between"/>
      </c:valAx>
    </c:plotArea>
    <c:legend>
      <c:legendPos val="b"/>
      <c:layout>
        <c:manualLayout>
          <c:xMode val="edge"/>
          <c:yMode val="edge"/>
          <c:x val="0.28760609298261652"/>
          <c:y val="0.94652431479884513"/>
          <c:w val="0.44529354967582763"/>
          <c:h val="4.1369601592283624E-2"/>
        </c:manualLayout>
      </c:layout>
      <c:txPr>
        <a:bodyPr/>
        <a:lstStyle/>
        <a:p>
          <a:pPr>
            <a:defRPr sz="1200" b="1"/>
          </a:pPr>
          <a:endParaRPr lang="en-US"/>
        </a:p>
      </c:txPr>
    </c:legend>
    <c:plotVisOnly val="1"/>
    <c:dispBlanksAs val="gap"/>
  </c:chart>
</c:chartSpace>
</file>

<file path=xl/charts/chart4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sz="1800" b="1" i="0" baseline="0"/>
          </a:p>
          <a:p>
            <a:pPr>
              <a:defRPr/>
            </a:pPr>
            <a:r>
              <a:rPr lang="en-US" sz="1800" b="1" i="0" baseline="0"/>
              <a:t>BRITISH COLUMBIA 2013</a:t>
            </a:r>
            <a:endParaRPr lang="en-CA" sz="1800" b="1" i="0" baseline="0"/>
          </a:p>
          <a:p>
            <a:pPr>
              <a:defRPr/>
            </a:pPr>
            <a:r>
              <a:rPr lang="en-US" sz="1800" b="1" i="0" baseline="0"/>
              <a:t>$4.3 B</a:t>
            </a:r>
          </a:p>
        </c:rich>
      </c:tx>
    </c:title>
    <c:plotArea>
      <c:layout/>
      <c:pieChart>
        <c:varyColors val="1"/>
        <c:ser>
          <c:idx val="10"/>
          <c:order val="0"/>
          <c:dLbls>
            <c:dLbl>
              <c:idx val="0"/>
              <c:layout>
                <c:manualLayout>
                  <c:x val="0.13602518183084741"/>
                  <c:y val="7.645881484936673E-2"/>
                </c:manualLayout>
              </c:layout>
              <c:tx>
                <c:rich>
                  <a:bodyPr/>
                  <a:lstStyle/>
                  <a:p>
                    <a:r>
                      <a:rPr lang="en-US"/>
                      <a:t>Disability Tax Measures</a:t>
                    </a:r>
                  </a:p>
                  <a:p>
                    <a:r>
                      <a:rPr lang="en-US"/>
                      <a:t>$328 M</a:t>
                    </a:r>
                  </a:p>
                </c:rich>
              </c:tx>
              <c:showVal val="1"/>
              <c:showCatName val="1"/>
            </c:dLbl>
            <c:dLbl>
              <c:idx val="1"/>
              <c:layout>
                <c:manualLayout>
                  <c:x val="-0.11244552917089932"/>
                  <c:y val="0.10720159457139071"/>
                </c:manualLayout>
              </c:layout>
              <c:tx>
                <c:rich>
                  <a:bodyPr/>
                  <a:lstStyle/>
                  <a:p>
                    <a:r>
                      <a:rPr lang="en-US"/>
                      <a:t>CPP-D</a:t>
                    </a:r>
                  </a:p>
                  <a:p>
                    <a:r>
                      <a:rPr lang="en-US"/>
                      <a:t>$726</a:t>
                    </a:r>
                    <a:r>
                      <a:rPr lang="en-US" baseline="0"/>
                      <a:t> M</a:t>
                    </a:r>
                    <a:endParaRPr lang="en-US"/>
                  </a:p>
                </c:rich>
              </c:tx>
              <c:showVal val="1"/>
              <c:showCatName val="1"/>
            </c:dLbl>
            <c:dLbl>
              <c:idx val="2"/>
              <c:layout>
                <c:manualLayout>
                  <c:x val="4.4738853720624062E-2"/>
                  <c:y val="3.2611755674449468E-3"/>
                </c:manualLayout>
              </c:layout>
              <c:tx>
                <c:rich>
                  <a:bodyPr/>
                  <a:lstStyle/>
                  <a:p>
                    <a:r>
                      <a:rPr lang="en-US"/>
                      <a:t>EI Sickness</a:t>
                    </a:r>
                  </a:p>
                  <a:p>
                    <a:r>
                      <a:rPr lang="en-US"/>
                      <a:t> $185 M</a:t>
                    </a:r>
                  </a:p>
                </c:rich>
              </c:tx>
              <c:showVal val="1"/>
              <c:showCatName val="1"/>
            </c:dLbl>
            <c:dLbl>
              <c:idx val="3"/>
              <c:layout>
                <c:manualLayout>
                  <c:x val="2.8576368033200572E-2"/>
                  <c:y val="2.8520630228096398E-2"/>
                </c:manualLayout>
              </c:layout>
              <c:tx>
                <c:rich>
                  <a:bodyPr/>
                  <a:lstStyle/>
                  <a:p>
                    <a:r>
                      <a:rPr lang="en-US"/>
                      <a:t>Veterans' Disability Pensions &amp; Awards $356 M</a:t>
                    </a:r>
                  </a:p>
                </c:rich>
              </c:tx>
              <c:showVal val="1"/>
              <c:showCatName val="1"/>
            </c:dLbl>
            <c:dLbl>
              <c:idx val="4"/>
              <c:layout>
                <c:manualLayout>
                  <c:x val="-4.6703344229805793E-2"/>
                  <c:y val="-0.13822843830250486"/>
                </c:manualLayout>
              </c:layout>
              <c:tx>
                <c:rich>
                  <a:bodyPr/>
                  <a:lstStyle/>
                  <a:p>
                    <a:r>
                      <a:rPr lang="en-US"/>
                      <a:t>Income Asst. for Persons</a:t>
                    </a:r>
                    <a:r>
                      <a:rPr lang="en-US" baseline="0"/>
                      <a:t> with Disabilities</a:t>
                    </a:r>
                    <a:endParaRPr lang="en-US"/>
                  </a:p>
                  <a:p>
                    <a:r>
                      <a:rPr lang="en-US"/>
                      <a:t>$906</a:t>
                    </a:r>
                    <a:r>
                      <a:rPr lang="en-US" baseline="0"/>
                      <a:t> M</a:t>
                    </a:r>
                    <a:endParaRPr lang="en-US"/>
                  </a:p>
                </c:rich>
              </c:tx>
              <c:showVal val="1"/>
              <c:showCatName val="1"/>
            </c:dLbl>
            <c:dLbl>
              <c:idx val="5"/>
              <c:layout>
                <c:manualLayout>
                  <c:x val="-8.3456968160341663E-2"/>
                  <c:y val="-7.7850696719410336E-3"/>
                </c:manualLayout>
              </c:layout>
              <c:tx>
                <c:rich>
                  <a:bodyPr/>
                  <a:lstStyle/>
                  <a:p>
                    <a:r>
                      <a:rPr lang="en-US"/>
                      <a:t>First Nations SA for Disabled - $62</a:t>
                    </a:r>
                    <a:r>
                      <a:rPr lang="en-US" baseline="0"/>
                      <a:t> M</a:t>
                    </a:r>
                    <a:endParaRPr lang="en-US"/>
                  </a:p>
                </c:rich>
              </c:tx>
              <c:showVal val="1"/>
              <c:showCatName val="1"/>
            </c:dLbl>
            <c:dLbl>
              <c:idx val="6"/>
              <c:layout>
                <c:manualLayout>
                  <c:x val="0.18078992735992591"/>
                  <c:y val="-8.2878216611834366E-2"/>
                </c:manualLayout>
              </c:layout>
              <c:tx>
                <c:rich>
                  <a:bodyPr/>
                  <a:lstStyle/>
                  <a:p>
                    <a:r>
                      <a:rPr lang="en-US"/>
                      <a:t>Workers' Compensation</a:t>
                    </a:r>
                  </a:p>
                  <a:p>
                    <a:r>
                      <a:rPr lang="en-US"/>
                      <a:t>$830 M</a:t>
                    </a:r>
                  </a:p>
                </c:rich>
              </c:tx>
              <c:showVal val="1"/>
              <c:showCatName val="1"/>
            </c:dLbl>
            <c:dLbl>
              <c:idx val="7"/>
              <c:layout>
                <c:manualLayout>
                  <c:x val="0.14592761642202678"/>
                  <c:y val="0.20500143302984472"/>
                </c:manualLayout>
              </c:layout>
              <c:tx>
                <c:rich>
                  <a:bodyPr/>
                  <a:lstStyle/>
                  <a:p>
                    <a:r>
                      <a:rPr lang="en-US"/>
                      <a:t>Private Disability Insurance</a:t>
                    </a:r>
                  </a:p>
                  <a:p>
                    <a:r>
                      <a:rPr lang="en-US"/>
                      <a:t>$915</a:t>
                    </a:r>
                    <a:r>
                      <a:rPr lang="en-US" baseline="0"/>
                      <a:t> M</a:t>
                    </a:r>
                    <a:endParaRPr lang="en-US"/>
                  </a:p>
                </c:rich>
              </c:tx>
              <c:showVal val="1"/>
              <c:showCatName val="1"/>
            </c:dLbl>
            <c:txPr>
              <a:bodyPr/>
              <a:lstStyle/>
              <a:p>
                <a:pPr>
                  <a:defRPr sz="1400" b="1" baseline="0"/>
                </a:pPr>
                <a:endParaRPr lang="en-US"/>
              </a:p>
            </c:txPr>
            <c:showVal val="1"/>
            <c:showCatName val="1"/>
            <c:showLeaderLines val="1"/>
          </c:dLbls>
          <c:cat>
            <c:strRef>
              <c:f>(BC!$A$255:$A$260,BC!$A$262:$A$263)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(BC!$L$255:$L$260,BC!$L$262:$L$263)</c:f>
              <c:numCache>
                <c:formatCode>#,##0.0</c:formatCode>
                <c:ptCount val="8"/>
                <c:pt idx="0">
                  <c:v>327.81124999999997</c:v>
                </c:pt>
                <c:pt idx="1">
                  <c:v>725.8</c:v>
                </c:pt>
                <c:pt idx="2">
                  <c:v>184.6</c:v>
                </c:pt>
                <c:pt idx="3">
                  <c:v>356.2</c:v>
                </c:pt>
                <c:pt idx="4">
                  <c:v>905.5</c:v>
                </c:pt>
                <c:pt idx="5">
                  <c:v>62.421999999999997</c:v>
                </c:pt>
                <c:pt idx="6">
                  <c:v>829.5</c:v>
                </c:pt>
                <c:pt idx="7">
                  <c:v>915</c:v>
                </c:pt>
              </c:numCache>
            </c:numRef>
          </c:val>
        </c:ser>
        <c:dLbls>
          <c:showCatName val="1"/>
          <c:showPercent val="1"/>
        </c:dLbls>
        <c:firstSliceAng val="0"/>
      </c:pieChart>
    </c:plotArea>
    <c:plotVisOnly val="1"/>
    <c:dispBlanksAs val="zero"/>
  </c:chart>
</c:chartSpace>
</file>

<file path=xl/charts/chart4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p>
          <a:p>
            <a:pPr>
              <a:defRPr/>
            </a:pPr>
            <a:r>
              <a:rPr lang="en-US" sz="1800" b="1" i="0" baseline="0"/>
              <a:t>BRITISH COLUMBIA 2005</a:t>
            </a:r>
          </a:p>
          <a:p>
            <a:pPr>
              <a:defRPr/>
            </a:pPr>
            <a:r>
              <a:rPr lang="en-US" sz="1800" b="1" i="0" baseline="0"/>
              <a:t>$3.1 B</a:t>
            </a:r>
            <a:endParaRPr lang="en-CA"/>
          </a:p>
        </c:rich>
      </c:tx>
    </c:title>
    <c:plotArea>
      <c:layout>
        <c:manualLayout>
          <c:layoutTarget val="inner"/>
          <c:xMode val="edge"/>
          <c:yMode val="edge"/>
          <c:x val="0.22309270213140925"/>
          <c:y val="0.23449150318158046"/>
          <c:w val="0.50254996830704246"/>
          <c:h val="0.69228019514625438"/>
        </c:manualLayout>
      </c:layout>
      <c:pieChart>
        <c:varyColors val="1"/>
        <c:ser>
          <c:idx val="0"/>
          <c:order val="0"/>
          <c:dLbls>
            <c:dLbl>
              <c:idx val="0"/>
              <c:layout>
                <c:manualLayout>
                  <c:x val="0.22262503494529148"/>
                  <c:y val="7.3894930633094241E-2"/>
                </c:manualLayout>
              </c:layout>
              <c:tx>
                <c:rich>
                  <a:bodyPr/>
                  <a:lstStyle/>
                  <a:p>
                    <a:r>
                      <a:rPr lang="en-US"/>
                      <a:t>Disability Tax Measures</a:t>
                    </a:r>
                  </a:p>
                  <a:p>
                    <a:r>
                      <a:rPr lang="en-US"/>
                      <a:t>$222 M</a:t>
                    </a:r>
                  </a:p>
                </c:rich>
              </c:tx>
              <c:showVal val="1"/>
              <c:showCatName val="1"/>
            </c:dLbl>
            <c:dLbl>
              <c:idx val="1"/>
              <c:layout>
                <c:manualLayout>
                  <c:x val="-0.12751732963536044"/>
                  <c:y val="0.12301957499702909"/>
                </c:manualLayout>
              </c:layout>
              <c:tx>
                <c:rich>
                  <a:bodyPr/>
                  <a:lstStyle/>
                  <a:p>
                    <a:r>
                      <a:rPr lang="en-US"/>
                      <a:t>CPP-D</a:t>
                    </a:r>
                  </a:p>
                  <a:p>
                    <a:r>
                      <a:rPr lang="en-US"/>
                      <a:t>$506 M</a:t>
                    </a:r>
                  </a:p>
                </c:rich>
              </c:tx>
              <c:showVal val="1"/>
              <c:showCatName val="1"/>
            </c:dLbl>
            <c:dLbl>
              <c:idx val="2"/>
              <c:layout>
                <c:manualLayout>
                  <c:x val="4.1003628774437487E-2"/>
                  <c:y val="-3.5730422619883618E-3"/>
                </c:manualLayout>
              </c:layout>
              <c:tx>
                <c:rich>
                  <a:bodyPr/>
                  <a:lstStyle/>
                  <a:p>
                    <a:r>
                      <a:rPr lang="en-US"/>
                      <a:t>EI Sickness</a:t>
                    </a:r>
                  </a:p>
                  <a:p>
                    <a:r>
                      <a:rPr lang="en-US"/>
                      <a:t>$ 131</a:t>
                    </a:r>
                    <a:r>
                      <a:rPr lang="en-US" baseline="0"/>
                      <a:t> M</a:t>
                    </a:r>
                    <a:endParaRPr lang="en-US"/>
                  </a:p>
                </c:rich>
              </c:tx>
              <c:showVal val="1"/>
              <c:showCatName val="1"/>
            </c:dLbl>
            <c:dLbl>
              <c:idx val="3"/>
              <c:layout>
                <c:manualLayout>
                  <c:x val="4.1033095843747806E-2"/>
                  <c:y val="1.7730010822393897E-2"/>
                </c:manualLayout>
              </c:layout>
              <c:tx>
                <c:rich>
                  <a:bodyPr/>
                  <a:lstStyle/>
                  <a:p>
                    <a:r>
                      <a:rPr lang="en-US"/>
                      <a:t>Veterans' Disability Pensions &amp; Awards $330 M</a:t>
                    </a:r>
                  </a:p>
                </c:rich>
              </c:tx>
              <c:showVal val="1"/>
              <c:showCatName val="1"/>
            </c:dLbl>
            <c:dLbl>
              <c:idx val="4"/>
              <c:layout>
                <c:manualLayout>
                  <c:x val="-4.0350855340793863E-2"/>
                  <c:y val="-0.10594554867884816"/>
                </c:manualLayout>
              </c:layout>
              <c:tx>
                <c:rich>
                  <a:bodyPr/>
                  <a:lstStyle/>
                  <a:p>
                    <a:r>
                      <a:rPr lang="en-US"/>
                      <a:t>Income Asst. for Persons</a:t>
                    </a:r>
                    <a:r>
                      <a:rPr lang="en-US" baseline="0"/>
                      <a:t> with Disabilities</a:t>
                    </a:r>
                  </a:p>
                  <a:p>
                    <a:r>
                      <a:rPr lang="en-US" baseline="0"/>
                      <a:t>$</a:t>
                    </a:r>
                    <a:r>
                      <a:rPr lang="en-US"/>
                      <a:t>576 M</a:t>
                    </a:r>
                  </a:p>
                </c:rich>
              </c:tx>
              <c:showVal val="1"/>
              <c:showCatName val="1"/>
            </c:dLbl>
            <c:dLbl>
              <c:idx val="5"/>
              <c:layout>
                <c:manualLayout>
                  <c:x val="-8.9514844021748724E-2"/>
                  <c:y val="-6.9379615642966574E-3"/>
                </c:manualLayout>
              </c:layout>
              <c:tx>
                <c:rich>
                  <a:bodyPr/>
                  <a:lstStyle/>
                  <a:p>
                    <a:r>
                      <a:rPr lang="en-US"/>
                      <a:t>First Nations SA for Disabled - $52 M</a:t>
                    </a:r>
                  </a:p>
                </c:rich>
              </c:tx>
              <c:showVal val="1"/>
              <c:showCatName val="1"/>
            </c:dLbl>
            <c:dLbl>
              <c:idx val="6"/>
              <c:layout>
                <c:manualLayout>
                  <c:x val="0.19122818975547087"/>
                  <c:y val="-8.3506080685617559E-2"/>
                </c:manualLayout>
              </c:layout>
              <c:tx>
                <c:rich>
                  <a:bodyPr/>
                  <a:lstStyle/>
                  <a:p>
                    <a:r>
                      <a:rPr lang="en-US"/>
                      <a:t>Workers' Compensation </a:t>
                    </a:r>
                  </a:p>
                  <a:p>
                    <a:r>
                      <a:rPr lang="en-US"/>
                      <a:t>$642 M</a:t>
                    </a:r>
                  </a:p>
                </c:rich>
              </c:tx>
              <c:showVal val="1"/>
              <c:showCatName val="1"/>
            </c:dLbl>
            <c:dLbl>
              <c:idx val="7"/>
              <c:layout>
                <c:manualLayout>
                  <c:x val="0.1423299813532847"/>
                  <c:y val="0.20850790771923294"/>
                </c:manualLayout>
              </c:layout>
              <c:tx>
                <c:rich>
                  <a:bodyPr/>
                  <a:lstStyle/>
                  <a:p>
                    <a:r>
                      <a:rPr lang="en-US"/>
                      <a:t>Private Disability Insurance</a:t>
                    </a:r>
                  </a:p>
                  <a:p>
                    <a:r>
                      <a:rPr lang="en-US"/>
                      <a:t>$623 M</a:t>
                    </a:r>
                  </a:p>
                </c:rich>
              </c:tx>
              <c:showVal val="1"/>
              <c:showCatName val="1"/>
            </c:dLbl>
            <c:txPr>
              <a:bodyPr/>
              <a:lstStyle/>
              <a:p>
                <a:pPr>
                  <a:defRPr sz="1400" b="1" baseline="0"/>
                </a:pPr>
                <a:endParaRPr lang="en-US"/>
              </a:p>
            </c:txPr>
            <c:showVal val="1"/>
            <c:showCatName val="1"/>
            <c:showLeaderLines val="1"/>
          </c:dLbls>
          <c:cat>
            <c:strRef>
              <c:f>(BC!$A$255:$A$260,BC!$A$262:$A$263)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(BC!$B$255:$B$260,BC!$B$262:$B$263)</c:f>
              <c:numCache>
                <c:formatCode>#,##0.0</c:formatCode>
                <c:ptCount val="8"/>
                <c:pt idx="0">
                  <c:v>222.29999999999998</c:v>
                </c:pt>
                <c:pt idx="1">
                  <c:v>505.9</c:v>
                </c:pt>
                <c:pt idx="2">
                  <c:v>131.4</c:v>
                </c:pt>
                <c:pt idx="3">
                  <c:v>329.54400000000004</c:v>
                </c:pt>
                <c:pt idx="4">
                  <c:v>576.1</c:v>
                </c:pt>
                <c:pt idx="5">
                  <c:v>51.81</c:v>
                </c:pt>
                <c:pt idx="6">
                  <c:v>642.20000000000005</c:v>
                </c:pt>
                <c:pt idx="7">
                  <c:v>623</c:v>
                </c:pt>
              </c:numCache>
            </c:numRef>
          </c:val>
        </c:ser>
        <c:dLbls>
          <c:showCatName val="1"/>
          <c:showPercent val="1"/>
        </c:dLbls>
        <c:firstSliceAng val="0"/>
      </c:pieChart>
    </c:plotArea>
    <c:plotVisOnly val="1"/>
    <c:dispBlanksAs val="zero"/>
  </c:chart>
</c:chartSpace>
</file>

<file path=xl/charts/chart4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DISABILITY BENEFIT EXPENDITURES</a:t>
            </a:r>
            <a:endParaRPr lang="en-CA"/>
          </a:p>
          <a:p>
            <a:pPr>
              <a:defRPr/>
            </a:pPr>
            <a:r>
              <a:rPr lang="en-US" sz="1800" b="1" i="0" baseline="0"/>
              <a:t>BRITISH COLUMBIA 2011-12</a:t>
            </a:r>
            <a:endParaRPr lang="en-CA"/>
          </a:p>
          <a:p>
            <a:pPr>
              <a:defRPr/>
            </a:pPr>
            <a:r>
              <a:rPr lang="en-US" sz="1800" b="1" i="0" baseline="0"/>
              <a:t>$4.0 B</a:t>
            </a:r>
            <a:endParaRPr lang="en-CA"/>
          </a:p>
        </c:rich>
      </c:tx>
    </c:title>
    <c:plotArea>
      <c:layout/>
      <c:pieChart>
        <c:varyColors val="1"/>
        <c:ser>
          <c:idx val="6"/>
          <c:order val="0"/>
          <c:dLbls>
            <c:dLbl>
              <c:idx val="0"/>
              <c:tx>
                <c:rich>
                  <a:bodyPr/>
                  <a:lstStyle/>
                  <a:p>
                    <a:r>
                      <a:rPr lang="en-US"/>
                      <a:t>Disability Tax Measures $302 M</a:t>
                    </a:r>
                  </a:p>
                </c:rich>
              </c:tx>
              <c:showVal val="1"/>
              <c:showCatName val="1"/>
            </c:dLbl>
            <c:dLbl>
              <c:idx val="1"/>
              <c:layout>
                <c:manualLayout>
                  <c:x val="-0.10454875825424001"/>
                  <c:y val="7.649297243435231E-2"/>
                </c:manualLayout>
              </c:layout>
              <c:tx>
                <c:rich>
                  <a:bodyPr/>
                  <a:lstStyle/>
                  <a:p>
                    <a:r>
                      <a:rPr lang="en-US"/>
                      <a:t>CPP-D</a:t>
                    </a:r>
                  </a:p>
                  <a:p>
                    <a:r>
                      <a:rPr lang="en-US"/>
                      <a:t>$687</a:t>
                    </a:r>
                    <a:r>
                      <a:rPr lang="en-US" baseline="0"/>
                      <a:t> M</a:t>
                    </a:r>
                    <a:endParaRPr lang="en-US"/>
                  </a:p>
                </c:rich>
              </c:tx>
              <c:showVal val="1"/>
              <c:showCatName val="1"/>
            </c:dLbl>
            <c:dLbl>
              <c:idx val="2"/>
              <c:tx>
                <c:rich>
                  <a:bodyPr/>
                  <a:lstStyle/>
                  <a:p>
                    <a:r>
                      <a:rPr lang="en-US"/>
                      <a:t>EI Sickness</a:t>
                    </a:r>
                  </a:p>
                  <a:p>
                    <a:r>
                      <a:rPr lang="en-US"/>
                      <a:t>$</a:t>
                    </a:r>
                    <a:r>
                      <a:rPr lang="en-US" baseline="0"/>
                      <a:t>165 M</a:t>
                    </a:r>
                    <a:endParaRPr lang="en-US"/>
                  </a:p>
                </c:rich>
              </c:tx>
              <c:showVal val="1"/>
              <c:showCatName val="1"/>
            </c:dLbl>
            <c:dLbl>
              <c:idx val="3"/>
              <c:layout>
                <c:manualLayout>
                  <c:x val="-0.14220219461044509"/>
                  <c:y val="-9.3158219840123443E-2"/>
                </c:manualLayout>
              </c:layout>
              <c:tx>
                <c:rich>
                  <a:bodyPr/>
                  <a:lstStyle/>
                  <a:p>
                    <a:r>
                      <a:rPr lang="en-US"/>
                      <a:t>Veterans' Disability Pensions &amp; Awards</a:t>
                    </a:r>
                  </a:p>
                  <a:p>
                    <a:r>
                      <a:rPr lang="en-US"/>
                      <a:t>$356 M</a:t>
                    </a:r>
                  </a:p>
                </c:rich>
              </c:tx>
              <c:showVal val="1"/>
              <c:showCatName val="1"/>
            </c:dLbl>
            <c:dLbl>
              <c:idx val="4"/>
              <c:layout>
                <c:manualLayout>
                  <c:x val="-3.4522949484101402E-2"/>
                  <c:y val="-0.13855126719874122"/>
                </c:manualLayout>
              </c:layout>
              <c:tx>
                <c:rich>
                  <a:bodyPr/>
                  <a:lstStyle/>
                  <a:p>
                    <a:r>
                      <a:rPr lang="en-US"/>
                      <a:t>Income Asst. for the Disabled</a:t>
                    </a:r>
                  </a:p>
                  <a:p>
                    <a:r>
                      <a:rPr lang="en-US"/>
                      <a:t>$824</a:t>
                    </a:r>
                    <a:r>
                      <a:rPr lang="en-US" baseline="0"/>
                      <a:t> M</a:t>
                    </a:r>
                    <a:endParaRPr lang="en-US"/>
                  </a:p>
                </c:rich>
              </c:tx>
              <c:showVal val="1"/>
              <c:showCatName val="1"/>
            </c:dLbl>
            <c:dLbl>
              <c:idx val="5"/>
              <c:layout>
                <c:manualLayout>
                  <c:x val="-3.2949142721645702E-2"/>
                  <c:y val="-5.6803269468711434E-3"/>
                </c:manualLayout>
              </c:layout>
              <c:tx>
                <c:rich>
                  <a:bodyPr/>
                  <a:lstStyle/>
                  <a:p>
                    <a:r>
                      <a:rPr lang="en-US"/>
                      <a:t>First Nations SA for Disabled </a:t>
                    </a:r>
                  </a:p>
                  <a:p>
                    <a:r>
                      <a:rPr lang="en-US"/>
                      <a:t>$55</a:t>
                    </a:r>
                    <a:r>
                      <a:rPr lang="en-US" baseline="0"/>
                      <a:t> </a:t>
                    </a:r>
                    <a:r>
                      <a:rPr lang="en-US"/>
                      <a:t>M</a:t>
                    </a:r>
                  </a:p>
                </c:rich>
              </c:tx>
              <c:showVal val="1"/>
              <c:showCatName val="1"/>
            </c:dLbl>
            <c:dLbl>
              <c:idx val="6"/>
              <c:layout>
                <c:manualLayout>
                  <c:x val="0.20262612136326769"/>
                  <c:y val="-7.9409076957198288E-2"/>
                </c:manualLayout>
              </c:layout>
              <c:tx>
                <c:rich>
                  <a:bodyPr/>
                  <a:lstStyle/>
                  <a:p>
                    <a:r>
                      <a:rPr lang="en-US"/>
                      <a:t>Workers' Compensation</a:t>
                    </a:r>
                  </a:p>
                  <a:p>
                    <a:r>
                      <a:rPr lang="en-US"/>
                      <a:t>$742 M</a:t>
                    </a:r>
                  </a:p>
                </c:rich>
              </c:tx>
              <c:showVal val="1"/>
              <c:showCatName val="1"/>
            </c:dLbl>
            <c:dLbl>
              <c:idx val="7"/>
              <c:layout>
                <c:manualLayout>
                  <c:x val="0.13405054219407531"/>
                  <c:y val="0.19331953896474868"/>
                </c:manualLayout>
              </c:layout>
              <c:tx>
                <c:rich>
                  <a:bodyPr/>
                  <a:lstStyle/>
                  <a:p>
                    <a:r>
                      <a:rPr lang="en-US"/>
                      <a:t>Private Disability Insurance</a:t>
                    </a:r>
                  </a:p>
                  <a:p>
                    <a:r>
                      <a:rPr lang="en-US"/>
                      <a:t>$833 M</a:t>
                    </a:r>
                  </a:p>
                </c:rich>
              </c:tx>
              <c:showVal val="1"/>
              <c:showCatName val="1"/>
            </c:dLbl>
            <c:txPr>
              <a:bodyPr/>
              <a:lstStyle/>
              <a:p>
                <a:pPr>
                  <a:defRPr sz="1200" b="1"/>
                </a:pPr>
                <a:endParaRPr lang="en-US"/>
              </a:p>
            </c:txPr>
            <c:showVal val="1"/>
            <c:showCatName val="1"/>
            <c:showLeaderLines val="1"/>
          </c:dLbls>
          <c:cat>
            <c:strRef>
              <c:f>(BC!$A$255:$A$260,BC!$A$262:$A$263)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(BC!$H$255:$H$260,BC!$H$262:$H$263)</c:f>
              <c:numCache>
                <c:formatCode>#,##0.0</c:formatCode>
                <c:ptCount val="8"/>
                <c:pt idx="0">
                  <c:v>302.40826000000004</c:v>
                </c:pt>
                <c:pt idx="1">
                  <c:v>687</c:v>
                </c:pt>
                <c:pt idx="2">
                  <c:v>164.7</c:v>
                </c:pt>
                <c:pt idx="3">
                  <c:v>356.2</c:v>
                </c:pt>
                <c:pt idx="4">
                  <c:v>823.6</c:v>
                </c:pt>
                <c:pt idx="5">
                  <c:v>55.110000000000007</c:v>
                </c:pt>
                <c:pt idx="6">
                  <c:v>742.4</c:v>
                </c:pt>
                <c:pt idx="7">
                  <c:v>833</c:v>
                </c:pt>
              </c:numCache>
            </c:numRef>
          </c:val>
        </c:ser>
        <c:dLbls>
          <c:showCatName val="1"/>
          <c:showPercent val="1"/>
        </c:dLbls>
        <c:firstSliceAng val="0"/>
      </c:pieChart>
    </c:plotArea>
    <c:plotVisOnly val="1"/>
    <c:dispBlanksAs val="zero"/>
  </c:chart>
</c:chartSpace>
</file>

<file path=xl/charts/chart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 </a:t>
            </a:r>
          </a:p>
          <a:p>
            <a:pPr>
              <a:defRPr lang="en-US"/>
            </a:pPr>
            <a:r>
              <a:rPr lang="en-US" sz="1800" b="1" i="0" baseline="0"/>
              <a:t>CANADA 2009-10 </a:t>
            </a:r>
            <a:br>
              <a:rPr lang="en-US" sz="1800" b="1" i="0" baseline="0"/>
            </a:br>
            <a:r>
              <a:rPr lang="en-US" sz="1800" b="1" i="0" baseline="0"/>
              <a:t>$27.8 B (revised)</a:t>
            </a:r>
            <a:endParaRPr lang="en-US"/>
          </a:p>
        </c:rich>
      </c:tx>
    </c:title>
    <c:plotArea>
      <c:layout>
        <c:manualLayout>
          <c:layoutTarget val="inner"/>
          <c:xMode val="edge"/>
          <c:yMode val="edge"/>
          <c:x val="0.24641382945646942"/>
          <c:y val="0.23029285695919771"/>
          <c:w val="0.50717234108705356"/>
          <c:h val="0.69850497152440083"/>
        </c:manualLayout>
      </c:layout>
      <c:pieChart>
        <c:varyColors val="1"/>
        <c:ser>
          <c:idx val="2"/>
          <c:order val="0"/>
          <c:dLbls>
            <c:dLbl>
              <c:idx val="0"/>
              <c:layout>
                <c:manualLayout>
                  <c:x val="7.5766229413962924E-2"/>
                  <c:y val="3.2989380812452201E-2"/>
                </c:manualLayout>
              </c:layout>
              <c:tx>
                <c:rich>
                  <a:bodyPr/>
                  <a:lstStyle/>
                  <a:p>
                    <a:r>
                      <a:rPr lang="en-US"/>
                      <a:t>Disability Tax Measures
$2 .0 B</a:t>
                    </a:r>
                    <a:endParaRPr lang="en-US" baseline="30000"/>
                  </a:p>
                </c:rich>
              </c:tx>
              <c:showCatName val="1"/>
              <c:showPercent val="1"/>
            </c:dLbl>
            <c:dLbl>
              <c:idx val="1"/>
              <c:tx>
                <c:rich>
                  <a:bodyPr/>
                  <a:lstStyle/>
                  <a:p>
                    <a:r>
                      <a:rPr lang="en-US"/>
                      <a:t>CPP-D &amp; QPP-D
$4.3 B</a:t>
                    </a:r>
                  </a:p>
                </c:rich>
              </c:tx>
              <c:showCatName val="1"/>
              <c:showPercent val="1"/>
            </c:dLbl>
            <c:dLbl>
              <c:idx val="2"/>
              <c:layout>
                <c:manualLayout>
                  <c:x val="3.3196724995453587E-3"/>
                  <c:y val="5.9841453399914479E-3"/>
                </c:manualLayout>
              </c:layout>
              <c:tx>
                <c:rich>
                  <a:bodyPr/>
                  <a:lstStyle/>
                  <a:p>
                    <a:r>
                      <a:rPr lang="en-US"/>
                      <a:t>EI Sickness
$1.1</a:t>
                    </a:r>
                    <a:r>
                      <a:rPr lang="en-US" baseline="0"/>
                      <a:t> B</a:t>
                    </a:r>
                    <a:endParaRPr lang="en-US"/>
                  </a:p>
                </c:rich>
              </c:tx>
              <c:showCatName val="1"/>
              <c:showPercent val="1"/>
            </c:dLbl>
            <c:dLbl>
              <c:idx val="3"/>
              <c:layout>
                <c:manualLayout>
                  <c:x val="-0.15059392474348771"/>
                  <c:y val="-5.2157755549496074E-2"/>
                </c:manualLayout>
              </c:layout>
              <c:tx>
                <c:rich>
                  <a:bodyPr/>
                  <a:lstStyle/>
                  <a:p>
                    <a:r>
                      <a:rPr lang="en-US"/>
                      <a:t>Veterans' Disability Pensions &amp; Awards
$2 B</a:t>
                    </a:r>
                  </a:p>
                </c:rich>
              </c:tx>
              <c:showCatName val="1"/>
              <c:showPercent val="1"/>
            </c:dLbl>
            <c:dLbl>
              <c:idx val="4"/>
              <c:layout>
                <c:manualLayout>
                  <c:x val="-6.68576463676403E-2"/>
                  <c:y val="-0.18121502450130458"/>
                </c:manualLayout>
              </c:layout>
              <c:tx>
                <c:rich>
                  <a:bodyPr/>
                  <a:lstStyle/>
                  <a:p>
                    <a:r>
                      <a:rPr lang="en-US"/>
                      <a:t>Social Assistance - Disabled component 
$7.4</a:t>
                    </a:r>
                    <a:r>
                      <a:rPr lang="en-US" baseline="0"/>
                      <a:t> </a:t>
                    </a:r>
                    <a:r>
                      <a:rPr lang="en-US"/>
                      <a:t>B</a:t>
                    </a:r>
                  </a:p>
                </c:rich>
              </c:tx>
              <c:showCatName val="1"/>
              <c:showPercent val="1"/>
            </c:dLbl>
            <c:dLbl>
              <c:idx val="5"/>
              <c:layout>
                <c:manualLayout>
                  <c:x val="0.2169291773237074"/>
                  <c:y val="-5.7113884302820134E-2"/>
                </c:manualLayout>
              </c:layout>
              <c:tx>
                <c:rich>
                  <a:bodyPr/>
                  <a:lstStyle/>
                  <a:p>
                    <a:r>
                      <a:rPr lang="en-US"/>
                      <a:t>Worker's Compensation 
$5.5 B</a:t>
                    </a:r>
                  </a:p>
                </c:rich>
              </c:tx>
              <c:showCatName val="1"/>
              <c:showPercent val="1"/>
            </c:dLbl>
            <c:dLbl>
              <c:idx val="6"/>
              <c:layout>
                <c:manualLayout>
                  <c:x val="0.1216420958351167"/>
                  <c:y val="0.17305390286013317"/>
                </c:manualLayout>
              </c:layout>
              <c:tx>
                <c:rich>
                  <a:bodyPr/>
                  <a:lstStyle/>
                  <a:p>
                    <a:r>
                      <a:rPr lang="en-US"/>
                      <a:t>Private Disability Insurance
$5.5</a:t>
                    </a:r>
                    <a:r>
                      <a:rPr lang="en-US" baseline="0"/>
                      <a:t> B</a:t>
                    </a:r>
                    <a:endParaRPr lang="en-US"/>
                  </a:p>
                </c:rich>
              </c:tx>
              <c:showCatName val="1"/>
              <c:showPercent val="1"/>
            </c:dLbl>
            <c:txPr>
              <a:bodyPr/>
              <a:lstStyle/>
              <a:p>
                <a:pPr>
                  <a:defRPr lang="en-US" sz="1200" b="1" i="0" baseline="0"/>
                </a:pPr>
                <a:endParaRPr lang="en-US"/>
              </a:p>
            </c:txPr>
            <c:showCatName val="1"/>
            <c:showPercent val="1"/>
            <c:showLeaderLines val="1"/>
          </c:dLbls>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2013-14'!$D$43:$D$49</c:f>
              <c:numCache>
                <c:formatCode>#,##0.0</c:formatCode>
                <c:ptCount val="7"/>
                <c:pt idx="0">
                  <c:v>2048.5</c:v>
                </c:pt>
                <c:pt idx="1">
                  <c:v>4262.3999999999996</c:v>
                </c:pt>
                <c:pt idx="2">
                  <c:v>1075.2</c:v>
                </c:pt>
                <c:pt idx="3">
                  <c:v>2030.2</c:v>
                </c:pt>
                <c:pt idx="4">
                  <c:v>7371.9925000000003</c:v>
                </c:pt>
                <c:pt idx="5">
                  <c:v>5470.2</c:v>
                </c:pt>
                <c:pt idx="6">
                  <c:v>5492</c:v>
                </c:pt>
              </c:numCache>
            </c:numRef>
          </c:val>
        </c:ser>
        <c:dLbls>
          <c:showCatName val="1"/>
          <c:showPercent val="1"/>
        </c:dLbls>
        <c:firstSliceAng val="0"/>
      </c:pieChart>
    </c:plotArea>
    <c:plotVisOnly val="1"/>
    <c:dispBlanksAs val="zero"/>
  </c:chart>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p>
          <a:p>
            <a:pPr>
              <a:defRPr lang="en-US"/>
            </a:pPr>
            <a:r>
              <a:rPr lang="en-US" sz="1800" b="1" i="0" baseline="0"/>
              <a:t>BRITISH COLUMBIA 2010-11</a:t>
            </a:r>
          </a:p>
          <a:p>
            <a:pPr>
              <a:defRPr lang="en-US"/>
            </a:pPr>
            <a:r>
              <a:rPr lang="en-US" sz="1800" b="1" i="0" baseline="0"/>
              <a:t>$3.8 B</a:t>
            </a:r>
            <a:endParaRPr lang="en-US"/>
          </a:p>
        </c:rich>
      </c:tx>
    </c:title>
    <c:plotArea>
      <c:layout/>
      <c:pieChart>
        <c:varyColors val="1"/>
        <c:ser>
          <c:idx val="4"/>
          <c:order val="0"/>
          <c:dLbls>
            <c:dLbl>
              <c:idx val="0"/>
              <c:tx>
                <c:rich>
                  <a:bodyPr/>
                  <a:lstStyle/>
                  <a:p>
                    <a:r>
                      <a:rPr lang="en-US"/>
                      <a:t>Disability Tax Measures $291</a:t>
                    </a:r>
                    <a:r>
                      <a:rPr lang="en-US" baseline="0"/>
                      <a:t> M</a:t>
                    </a:r>
                    <a:endParaRPr lang="en-US"/>
                  </a:p>
                </c:rich>
              </c:tx>
              <c:showVal val="1"/>
              <c:showCatName val="1"/>
            </c:dLbl>
            <c:dLbl>
              <c:idx val="1"/>
              <c:layout>
                <c:manualLayout>
                  <c:x val="-0.12040669733497346"/>
                  <c:y val="9.1364279748755731E-2"/>
                </c:manualLayout>
              </c:layout>
              <c:tx>
                <c:rich>
                  <a:bodyPr/>
                  <a:lstStyle/>
                  <a:p>
                    <a:r>
                      <a:rPr lang="en-US"/>
                      <a:t>CPP-D</a:t>
                    </a:r>
                  </a:p>
                  <a:p>
                    <a:r>
                      <a:rPr lang="en-US"/>
                      <a:t>$638</a:t>
                    </a:r>
                    <a:r>
                      <a:rPr lang="en-US" baseline="0"/>
                      <a:t> M</a:t>
                    </a:r>
                    <a:endParaRPr lang="en-US"/>
                  </a:p>
                </c:rich>
              </c:tx>
              <c:showVal val="1"/>
              <c:showCatName val="1"/>
            </c:dLbl>
            <c:dLbl>
              <c:idx val="2"/>
              <c:tx>
                <c:rich>
                  <a:bodyPr/>
                  <a:lstStyle/>
                  <a:p>
                    <a:r>
                      <a:rPr lang="en-US"/>
                      <a:t>EI Sickness</a:t>
                    </a:r>
                  </a:p>
                  <a:p>
                    <a:r>
                      <a:rPr lang="en-US"/>
                      <a:t>$165</a:t>
                    </a:r>
                    <a:r>
                      <a:rPr lang="en-US" baseline="0"/>
                      <a:t> M</a:t>
                    </a:r>
                    <a:endParaRPr lang="en-US"/>
                  </a:p>
                </c:rich>
              </c:tx>
              <c:showVal val="1"/>
              <c:showCatName val="1"/>
            </c:dLbl>
            <c:dLbl>
              <c:idx val="3"/>
              <c:tx>
                <c:rich>
                  <a:bodyPr/>
                  <a:lstStyle/>
                  <a:p>
                    <a:r>
                      <a:rPr lang="en-US"/>
                      <a:t>Veterans' Disability Pensions &amp; Awards $371 M</a:t>
                    </a:r>
                  </a:p>
                </c:rich>
              </c:tx>
              <c:showVal val="1"/>
              <c:showCatName val="1"/>
            </c:dLbl>
            <c:dLbl>
              <c:idx val="4"/>
              <c:layout>
                <c:manualLayout>
                  <c:x val="-2.4605807617569163E-2"/>
                  <c:y val="-0.16055390682808077"/>
                </c:manualLayout>
              </c:layout>
              <c:tx>
                <c:rich>
                  <a:bodyPr/>
                  <a:lstStyle/>
                  <a:p>
                    <a:r>
                      <a:rPr lang="en-US"/>
                      <a:t>Income Asst. for the Disabled</a:t>
                    </a:r>
                  </a:p>
                  <a:p>
                    <a:r>
                      <a:rPr lang="en-US"/>
                      <a:t>$777</a:t>
                    </a:r>
                    <a:r>
                      <a:rPr lang="en-US" baseline="0"/>
                      <a:t> M</a:t>
                    </a:r>
                    <a:endParaRPr lang="en-US"/>
                  </a:p>
                </c:rich>
              </c:tx>
              <c:showVal val="1"/>
              <c:showCatName val="1"/>
            </c:dLbl>
            <c:dLbl>
              <c:idx val="5"/>
              <c:layout>
                <c:manualLayout>
                  <c:x val="-2.7308645185022892E-2"/>
                  <c:y val="2.1988793873230651E-3"/>
                </c:manualLayout>
              </c:layout>
              <c:tx>
                <c:rich>
                  <a:bodyPr/>
                  <a:lstStyle/>
                  <a:p>
                    <a:r>
                      <a:rPr lang="en-US"/>
                      <a:t>First Nations SA for Disabled </a:t>
                    </a:r>
                  </a:p>
                  <a:p>
                    <a:r>
                      <a:rPr lang="en-US"/>
                      <a:t>$55</a:t>
                    </a:r>
                    <a:r>
                      <a:rPr lang="en-US" baseline="0"/>
                      <a:t> M</a:t>
                    </a:r>
                    <a:endParaRPr lang="en-US"/>
                  </a:p>
                </c:rich>
              </c:tx>
              <c:showVal val="1"/>
              <c:showCatName val="1"/>
            </c:dLbl>
            <c:dLbl>
              <c:idx val="6"/>
              <c:layout>
                <c:manualLayout>
                  <c:x val="0.2144002981551342"/>
                  <c:y val="-7.9154102813086394E-2"/>
                </c:manualLayout>
              </c:layout>
              <c:tx>
                <c:rich>
                  <a:bodyPr/>
                  <a:lstStyle/>
                  <a:p>
                    <a:r>
                      <a:rPr lang="en-US"/>
                      <a:t>Workers' Compensation $693</a:t>
                    </a:r>
                    <a:r>
                      <a:rPr lang="en-US" baseline="0"/>
                      <a:t> M</a:t>
                    </a:r>
                    <a:endParaRPr lang="en-US"/>
                  </a:p>
                </c:rich>
              </c:tx>
              <c:showVal val="1"/>
              <c:showCatName val="1"/>
            </c:dLbl>
            <c:dLbl>
              <c:idx val="7"/>
              <c:layout>
                <c:manualLayout>
                  <c:x val="0.13880456986812351"/>
                  <c:y val="0.18660064420468137"/>
                </c:manualLayout>
              </c:layout>
              <c:tx>
                <c:rich>
                  <a:bodyPr/>
                  <a:lstStyle/>
                  <a:p>
                    <a:r>
                      <a:rPr lang="en-US"/>
                      <a:t>Private Disability Insurance</a:t>
                    </a:r>
                  </a:p>
                  <a:p>
                    <a:r>
                      <a:rPr lang="en-US"/>
                      <a:t>$815</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(BC!$A$255:$A$260,BC!$A$262:$A$263)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(BC!$F$255:$F$260,BC!$F$262:$F$263)</c:f>
              <c:numCache>
                <c:formatCode>#,##0.0</c:formatCode>
                <c:ptCount val="8"/>
                <c:pt idx="0">
                  <c:v>291.32320000000004</c:v>
                </c:pt>
                <c:pt idx="1">
                  <c:v>638</c:v>
                </c:pt>
                <c:pt idx="2">
                  <c:v>165.3</c:v>
                </c:pt>
                <c:pt idx="3">
                  <c:v>371.4</c:v>
                </c:pt>
                <c:pt idx="4">
                  <c:v>777.1</c:v>
                </c:pt>
                <c:pt idx="5">
                  <c:v>55.33</c:v>
                </c:pt>
                <c:pt idx="6">
                  <c:v>692.7</c:v>
                </c:pt>
                <c:pt idx="7">
                  <c:v>815</c:v>
                </c:pt>
              </c:numCache>
            </c:numRef>
          </c:val>
        </c:ser>
        <c:dLbls>
          <c:showCatName val="1"/>
          <c:showPercent val="1"/>
        </c:dLbls>
        <c:firstSliceAng val="0"/>
      </c:pieChart>
    </c:plotArea>
    <c:plotVisOnly val="1"/>
    <c:dispBlanksAs val="zero"/>
  </c:chart>
</c:chartSpace>
</file>

<file path=xl/charts/chart5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BRITISH COLUMBIA 2009-10</a:t>
            </a:r>
            <a:endParaRPr lang="en-US"/>
          </a:p>
          <a:p>
            <a:pPr>
              <a:defRPr lang="en-US"/>
            </a:pPr>
            <a:r>
              <a:rPr lang="en-US" sz="1800" b="1" i="0" baseline="0"/>
              <a:t>$3.7 B</a:t>
            </a:r>
            <a:endParaRPr lang="en-US"/>
          </a:p>
        </c:rich>
      </c:tx>
    </c:title>
    <c:plotArea>
      <c:layout/>
      <c:pieChart>
        <c:varyColors val="1"/>
        <c:ser>
          <c:idx val="1"/>
          <c:order val="0"/>
          <c:dLbls>
            <c:dLbl>
              <c:idx val="0"/>
              <c:layout>
                <c:manualLayout>
                  <c:x val="6.9580593733442123E-2"/>
                  <c:y val="2.1704212471364323E-2"/>
                </c:manualLayout>
              </c:layout>
              <c:tx>
                <c:rich>
                  <a:bodyPr/>
                  <a:lstStyle/>
                  <a:p>
                    <a:r>
                      <a:rPr lang="en-US"/>
                      <a:t>Disability Tax Measures $270 M</a:t>
                    </a:r>
                  </a:p>
                </c:rich>
              </c:tx>
              <c:showVal val="1"/>
              <c:showCatName val="1"/>
            </c:dLbl>
            <c:dLbl>
              <c:idx val="1"/>
              <c:layout>
                <c:manualLayout>
                  <c:x val="-0.10422464799786126"/>
                  <c:y val="0.10820632453199801"/>
                </c:manualLayout>
              </c:layout>
              <c:tx>
                <c:rich>
                  <a:bodyPr/>
                  <a:lstStyle/>
                  <a:p>
                    <a:r>
                      <a:rPr lang="en-US"/>
                      <a:t>CPP-D</a:t>
                    </a:r>
                  </a:p>
                  <a:p>
                    <a:r>
                      <a:rPr lang="en-US"/>
                      <a:t>$603</a:t>
                    </a:r>
                    <a:r>
                      <a:rPr lang="en-US" baseline="0"/>
                      <a:t> </a:t>
                    </a:r>
                    <a:r>
                      <a:rPr lang="en-US"/>
                      <a:t>M</a:t>
                    </a:r>
                  </a:p>
                </c:rich>
              </c:tx>
              <c:showVal val="1"/>
              <c:showCatName val="1"/>
            </c:dLbl>
            <c:dLbl>
              <c:idx val="2"/>
              <c:tx>
                <c:rich>
                  <a:bodyPr/>
                  <a:lstStyle/>
                  <a:p>
                    <a:r>
                      <a:rPr lang="en-US"/>
                      <a:t>EI Sickness</a:t>
                    </a:r>
                  </a:p>
                  <a:p>
                    <a:r>
                      <a:rPr lang="en-US"/>
                      <a:t>$166</a:t>
                    </a:r>
                    <a:r>
                      <a:rPr lang="en-US" baseline="0"/>
                      <a:t> </a:t>
                    </a:r>
                    <a:r>
                      <a:rPr lang="en-US"/>
                      <a:t>M</a:t>
                    </a:r>
                  </a:p>
                </c:rich>
              </c:tx>
              <c:showVal val="1"/>
              <c:showCatName val="1"/>
            </c:dLbl>
            <c:dLbl>
              <c:idx val="3"/>
              <c:tx>
                <c:rich>
                  <a:bodyPr/>
                  <a:lstStyle/>
                  <a:p>
                    <a:r>
                      <a:rPr lang="en-US"/>
                      <a:t>Veterans' Disability Pensions &amp; Awards</a:t>
                    </a:r>
                  </a:p>
                  <a:p>
                    <a:r>
                      <a:rPr lang="en-US"/>
                      <a:t>$390 M</a:t>
                    </a:r>
                  </a:p>
                </c:rich>
              </c:tx>
              <c:showVal val="1"/>
              <c:showCatName val="1"/>
            </c:dLbl>
            <c:dLbl>
              <c:idx val="4"/>
              <c:layout>
                <c:manualLayout>
                  <c:x val="-4.0670540194128087E-2"/>
                  <c:y val="-0.14342029705028941"/>
                </c:manualLayout>
              </c:layout>
              <c:tx>
                <c:rich>
                  <a:bodyPr/>
                  <a:lstStyle/>
                  <a:p>
                    <a:r>
                      <a:rPr lang="en-US"/>
                      <a:t>Income Assistance</a:t>
                    </a:r>
                  </a:p>
                  <a:p>
                    <a:r>
                      <a:rPr lang="en-US"/>
                      <a:t> for the Disabled</a:t>
                    </a:r>
                  </a:p>
                  <a:p>
                    <a:r>
                      <a:rPr lang="en-US"/>
                      <a:t>$732 M</a:t>
                    </a:r>
                  </a:p>
                </c:rich>
              </c:tx>
              <c:showVal val="1"/>
              <c:showCatName val="1"/>
            </c:dLbl>
            <c:dLbl>
              <c:idx val="5"/>
              <c:layout>
                <c:manualLayout>
                  <c:x val="-2.962271252484406E-2"/>
                  <c:y val="-1.3796563501014684E-2"/>
                </c:manualLayout>
              </c:layout>
              <c:tx>
                <c:rich>
                  <a:bodyPr/>
                  <a:lstStyle/>
                  <a:p>
                    <a:r>
                      <a:rPr lang="en-US"/>
                      <a:t>First Nations </a:t>
                    </a:r>
                  </a:p>
                  <a:p>
                    <a:r>
                      <a:rPr lang="en-US"/>
                      <a:t>SA for Disabled</a:t>
                    </a:r>
                  </a:p>
                  <a:p>
                    <a:r>
                      <a:rPr lang="en-US"/>
                      <a:t> $54 M</a:t>
                    </a:r>
                  </a:p>
                </c:rich>
              </c:tx>
              <c:showVal val="1"/>
              <c:showCatName val="1"/>
            </c:dLbl>
            <c:dLbl>
              <c:idx val="6"/>
              <c:layout>
                <c:manualLayout>
                  <c:x val="0.20365348362785834"/>
                  <c:y val="-7.5747696763517489E-2"/>
                </c:manualLayout>
              </c:layout>
              <c:tx>
                <c:rich>
                  <a:bodyPr/>
                  <a:lstStyle/>
                  <a:p>
                    <a:r>
                      <a:rPr lang="en-US"/>
                      <a:t>Worker's Compensation $677 M</a:t>
                    </a:r>
                  </a:p>
                </c:rich>
              </c:tx>
              <c:showVal val="1"/>
              <c:showCatName val="1"/>
            </c:dLbl>
            <c:dLbl>
              <c:idx val="7"/>
              <c:layout>
                <c:manualLayout>
                  <c:x val="0.13423843559828844"/>
                  <c:y val="0.18106154418027381"/>
                </c:manualLayout>
              </c:layout>
              <c:tx>
                <c:rich>
                  <a:bodyPr/>
                  <a:lstStyle/>
                  <a:p>
                    <a:r>
                      <a:rPr lang="en-US"/>
                      <a:t>Private Disability Insurance </a:t>
                    </a:r>
                  </a:p>
                  <a:p>
                    <a:r>
                      <a:rPr lang="en-US"/>
                      <a:t>$779 M</a:t>
                    </a:r>
                  </a:p>
                </c:rich>
              </c:tx>
              <c:showVal val="1"/>
              <c:showCatName val="1"/>
            </c:dLbl>
            <c:txPr>
              <a:bodyPr/>
              <a:lstStyle/>
              <a:p>
                <a:pPr>
                  <a:defRPr lang="en-US" sz="1200" b="1" i="0" baseline="0"/>
                </a:pPr>
                <a:endParaRPr lang="en-US"/>
              </a:p>
            </c:txPr>
            <c:showVal val="1"/>
            <c:showCatName val="1"/>
            <c:showLeaderLines val="1"/>
          </c:dLbls>
          <c:cat>
            <c:strRef>
              <c:f>(BC!$A$255:$A$260,BC!$A$262:$A$263)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(BC!$D$255:$D$260,BC!$D$262:$D$263)</c:f>
              <c:numCache>
                <c:formatCode>#,##0.0</c:formatCode>
                <c:ptCount val="8"/>
                <c:pt idx="0">
                  <c:v>270.40199999999999</c:v>
                </c:pt>
                <c:pt idx="1">
                  <c:v>603.4</c:v>
                </c:pt>
                <c:pt idx="2">
                  <c:v>165.7</c:v>
                </c:pt>
                <c:pt idx="3">
                  <c:v>389.79840000000002</c:v>
                </c:pt>
                <c:pt idx="4">
                  <c:v>732.3</c:v>
                </c:pt>
                <c:pt idx="5">
                  <c:v>54.34</c:v>
                </c:pt>
                <c:pt idx="6">
                  <c:v>677.4</c:v>
                </c:pt>
                <c:pt idx="7">
                  <c:v>779</c:v>
                </c:pt>
              </c:numCache>
            </c:numRef>
          </c:val>
        </c:ser>
        <c:dLbls>
          <c:showCatName val="1"/>
          <c:showPercent val="1"/>
        </c:dLbls>
        <c:firstSliceAng val="0"/>
      </c:pieChart>
    </c:plotArea>
    <c:plotVisOnly val="1"/>
    <c:dispBlanksAs val="zero"/>
  </c:chart>
  <c:userShapes r:id="rId1"/>
</c:chartSpace>
</file>

<file path=xl/charts/chart5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p>
          <a:p>
            <a:pPr>
              <a:defRPr/>
            </a:pPr>
            <a:r>
              <a:rPr lang="en-US" sz="1800" b="1" i="0" baseline="0"/>
              <a:t>PERCENTAGE CHANGE IN EXPENDITURES FROM 2005 TO 2013</a:t>
            </a:r>
          </a:p>
          <a:p>
            <a:pPr>
              <a:defRPr/>
            </a:pPr>
            <a:r>
              <a:rPr lang="en-US" sz="1800" b="1" i="0" baseline="0"/>
              <a:t>BRITISH COLUMBIA</a:t>
            </a:r>
            <a:endParaRPr lang="en-CA"/>
          </a:p>
        </c:rich>
      </c:tx>
    </c:title>
    <c:plotArea>
      <c:layout/>
      <c:barChart>
        <c:barDir val="col"/>
        <c:grouping val="clustered"/>
        <c:ser>
          <c:idx val="0"/>
          <c:order val="0"/>
          <c:spPr>
            <a:solidFill>
              <a:srgbClr val="F79646">
                <a:lumMod val="75000"/>
              </a:srgbClr>
            </a:solidFill>
          </c:spPr>
          <c:dLbls>
            <c:dLbl>
              <c:idx val="0"/>
              <c:layout>
                <c:manualLayout>
                  <c:x val="1.464703640861126E-3"/>
                  <c:y val="-1.6141444811828269E-2"/>
                </c:manualLayout>
              </c:layout>
              <c:showVal val="1"/>
            </c:dLbl>
            <c:dLbl>
              <c:idx val="3"/>
              <c:layout>
                <c:manualLayout>
                  <c:x val="0"/>
                  <c:y val="-1.0088403007392655E-2"/>
                </c:manualLayout>
              </c:layout>
              <c:showVal val="1"/>
            </c:dLbl>
            <c:dLbl>
              <c:idx val="4"/>
              <c:layout>
                <c:manualLayout>
                  <c:x val="0"/>
                  <c:y val="-2.017680601478531E-2"/>
                </c:manualLayout>
              </c:layout>
              <c:showVal val="1"/>
            </c:dLbl>
            <c:dLbl>
              <c:idx val="8"/>
              <c:layout>
                <c:manualLayout>
                  <c:x val="0"/>
                  <c:y val="6.0530418044355931E-3"/>
                </c:manualLayout>
              </c:layout>
              <c:showVal val="1"/>
            </c:dLbl>
            <c:txPr>
              <a:bodyPr/>
              <a:lstStyle/>
              <a:p>
                <a:pPr>
                  <a:defRPr sz="1200" b="1"/>
                </a:pPr>
                <a:endParaRPr lang="en-US"/>
              </a:p>
            </c:txPr>
            <c:showVal val="1"/>
          </c:dLbls>
          <c:cat>
            <c:strRef>
              <c:f>(BC!$A$255:$A$260,BC!$A$262:$A$263)</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(BC!$M$255:$M$260,BC!$M$262:$M$263)</c:f>
              <c:numCache>
                <c:formatCode>0.0%</c:formatCode>
                <c:ptCount val="8"/>
                <c:pt idx="0">
                  <c:v>0.47463450292397658</c:v>
                </c:pt>
                <c:pt idx="1">
                  <c:v>0.43467088357382877</c:v>
                </c:pt>
                <c:pt idx="2">
                  <c:v>0.40487062404870616</c:v>
                </c:pt>
                <c:pt idx="3">
                  <c:v>8.0887529434612512E-2</c:v>
                </c:pt>
                <c:pt idx="4">
                  <c:v>0.57177573337962151</c:v>
                </c:pt>
                <c:pt idx="5">
                  <c:v>0.20482532329666076</c:v>
                </c:pt>
                <c:pt idx="6">
                  <c:v>0.29165369043911543</c:v>
                </c:pt>
                <c:pt idx="7">
                  <c:v>0.46869983948635635</c:v>
                </c:pt>
              </c:numCache>
            </c:numRef>
          </c:val>
        </c:ser>
        <c:dLbls/>
        <c:gapWidth val="50"/>
        <c:axId val="138315648"/>
        <c:axId val="138317184"/>
      </c:barChart>
      <c:catAx>
        <c:axId val="138315648"/>
        <c:scaling>
          <c:orientation val="minMax"/>
        </c:scaling>
        <c:axPos val="b"/>
        <c:majorTickMark val="none"/>
        <c:tickLblPos val="nextTo"/>
        <c:txPr>
          <a:bodyPr/>
          <a:lstStyle/>
          <a:p>
            <a:pPr>
              <a:defRPr sz="1200" b="1"/>
            </a:pPr>
            <a:endParaRPr lang="en-US"/>
          </a:p>
        </c:txPr>
        <c:crossAx val="138317184"/>
        <c:crosses val="autoZero"/>
        <c:auto val="1"/>
        <c:lblAlgn val="ctr"/>
        <c:lblOffset val="100"/>
      </c:catAx>
      <c:valAx>
        <c:axId val="138317184"/>
        <c:scaling>
          <c:orientation val="minMax"/>
        </c:scaling>
        <c:axPos val="l"/>
        <c:majorGridlines/>
        <c:numFmt formatCode="0%" sourceLinked="0"/>
        <c:majorTickMark val="none"/>
        <c:tickLblPos val="nextTo"/>
        <c:crossAx val="138315648"/>
        <c:crosses val="autoZero"/>
        <c:crossBetween val="between"/>
      </c:valAx>
    </c:plotArea>
    <c:plotVisOnly val="1"/>
    <c:dispBlanksAs val="gap"/>
  </c:chart>
</c:chartSpace>
</file>

<file path=xl/charts/chart5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2010-11 </a:t>
            </a:r>
            <a:endParaRPr lang="en-US"/>
          </a:p>
          <a:p>
            <a:pPr>
              <a:defRPr lang="en-US"/>
            </a:pPr>
            <a:r>
              <a:rPr lang="en-US" sz="1800" b="1" i="0" baseline="0"/>
              <a:t>British Columbia</a:t>
            </a:r>
            <a:endParaRPr lang="en-US"/>
          </a:p>
        </c:rich>
      </c:tx>
    </c:title>
    <c:plotArea>
      <c:layout/>
      <c:barChart>
        <c:barDir val="col"/>
        <c:grouping val="clustered"/>
        <c:ser>
          <c:idx val="5"/>
          <c:order val="0"/>
          <c:spPr>
            <a:solidFill>
              <a:schemeClr val="accent3"/>
            </a:solidFill>
          </c:spPr>
          <c:dLbls>
            <c:dLbl>
              <c:idx val="3"/>
              <c:layout>
                <c:manualLayout>
                  <c:x val="-2.9271568939961252E-3"/>
                  <c:y val="-6.0471563921617524E-3"/>
                </c:manualLayout>
              </c:layout>
              <c:showVal val="1"/>
            </c:dLbl>
            <c:txPr>
              <a:bodyPr/>
              <a:lstStyle/>
              <a:p>
                <a:pPr>
                  <a:defRPr lang="en-US" sz="1200" b="1" i="0" baseline="0"/>
                </a:pPr>
                <a:endParaRPr lang="en-US"/>
              </a:p>
            </c:txPr>
            <c:showVal val="1"/>
          </c:dLbls>
          <c:cat>
            <c:strRef>
              <c:f>BC!$A$255:$A$263</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Total SA, incl. FN</c:v>
                </c:pt>
                <c:pt idx="7">
                  <c:v>Workers' Compensation </c:v>
                </c:pt>
                <c:pt idx="8">
                  <c:v>Private Disability Insurance</c:v>
                </c:pt>
              </c:strCache>
            </c:strRef>
          </c:cat>
          <c:val>
            <c:numRef>
              <c:f>BC!$G$255:$G$263</c:f>
              <c:numCache>
                <c:formatCode>0.0%</c:formatCode>
                <c:ptCount val="9"/>
                <c:pt idx="0">
                  <c:v>0.31049572649572676</c:v>
                </c:pt>
                <c:pt idx="1">
                  <c:v>0.26111879818145883</c:v>
                </c:pt>
                <c:pt idx="2">
                  <c:v>0.25799086757990869</c:v>
                </c:pt>
                <c:pt idx="3">
                  <c:v>0.12701187094894742</c:v>
                </c:pt>
                <c:pt idx="4">
                  <c:v>0.34889776080541574</c:v>
                </c:pt>
                <c:pt idx="5">
                  <c:v>6.7940552016985054E-2</c:v>
                </c:pt>
                <c:pt idx="6">
                  <c:v>0.32571546877737251</c:v>
                </c:pt>
                <c:pt idx="7">
                  <c:v>7.8635938959825596E-2</c:v>
                </c:pt>
                <c:pt idx="8">
                  <c:v>0.30818619582664525</c:v>
                </c:pt>
              </c:numCache>
            </c:numRef>
          </c:val>
        </c:ser>
        <c:dLbls/>
        <c:gapWidth val="50"/>
        <c:axId val="138345856"/>
        <c:axId val="138445952"/>
      </c:barChart>
      <c:catAx>
        <c:axId val="138345856"/>
        <c:scaling>
          <c:orientation val="minMax"/>
        </c:scaling>
        <c:axPos val="b"/>
        <c:majorTickMark val="none"/>
        <c:tickLblPos val="nextTo"/>
        <c:txPr>
          <a:bodyPr/>
          <a:lstStyle/>
          <a:p>
            <a:pPr>
              <a:defRPr lang="en-US" sz="1100" b="1"/>
            </a:pPr>
            <a:endParaRPr lang="en-US"/>
          </a:p>
        </c:txPr>
        <c:crossAx val="138445952"/>
        <c:crosses val="autoZero"/>
        <c:auto val="1"/>
        <c:lblAlgn val="ctr"/>
        <c:lblOffset val="100"/>
      </c:catAx>
      <c:valAx>
        <c:axId val="138445952"/>
        <c:scaling>
          <c:orientation val="minMax"/>
        </c:scaling>
        <c:axPos val="l"/>
        <c:majorGridlines/>
        <c:numFmt formatCode="0%" sourceLinked="0"/>
        <c:majorTickMark val="none"/>
        <c:tickLblPos val="nextTo"/>
        <c:txPr>
          <a:bodyPr/>
          <a:lstStyle/>
          <a:p>
            <a:pPr>
              <a:defRPr lang="en-US"/>
            </a:pPr>
            <a:endParaRPr lang="en-US"/>
          </a:p>
        </c:txPr>
        <c:crossAx val="138345856"/>
        <c:crosses val="autoZero"/>
        <c:crossBetween val="between"/>
      </c:valAx>
    </c:plotArea>
    <c:plotVisOnly val="1"/>
    <c:dispBlanksAs val="gap"/>
  </c:chart>
</c:chartSpace>
</file>

<file path=xl/charts/chart5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p>
          <a:p>
            <a:pPr>
              <a:defRPr/>
            </a:pPr>
            <a:r>
              <a:rPr lang="en-US" sz="1800" b="1" i="0" baseline="0"/>
              <a:t>Percentage Change in Expenditures from 2005-06 to</a:t>
            </a:r>
            <a:endParaRPr lang="en-CA"/>
          </a:p>
          <a:p>
            <a:pPr>
              <a:defRPr/>
            </a:pPr>
            <a:r>
              <a:rPr lang="en-US" sz="1800" b="1" i="0" baseline="0"/>
              <a:t>2009-10, 2010-11 and 2011-12 </a:t>
            </a:r>
          </a:p>
          <a:p>
            <a:pPr>
              <a:defRPr/>
            </a:pPr>
            <a:r>
              <a:rPr lang="en-US" sz="1800" b="1" i="0" baseline="0"/>
              <a:t>British Columbia</a:t>
            </a:r>
          </a:p>
        </c:rich>
      </c:tx>
    </c:title>
    <c:plotArea>
      <c:layout/>
      <c:barChart>
        <c:barDir val="col"/>
        <c:grouping val="clustered"/>
        <c:ser>
          <c:idx val="3"/>
          <c:order val="0"/>
          <c:tx>
            <c:strRef>
              <c:f>BC!$E$254</c:f>
              <c:strCache>
                <c:ptCount val="1"/>
                <c:pt idx="0">
                  <c:v>% change</c:v>
                </c:pt>
              </c:strCache>
            </c:strRef>
          </c:tx>
          <c:spPr>
            <a:solidFill>
              <a:schemeClr val="accent1"/>
            </a:solidFill>
          </c:spPr>
          <c:cat>
            <c:strRef>
              <c:f>BC!$A$255:$A$263</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Total SA, incl. FN</c:v>
                </c:pt>
                <c:pt idx="7">
                  <c:v>Workers' Compensation </c:v>
                </c:pt>
                <c:pt idx="8">
                  <c:v>Private Disability Insurance</c:v>
                </c:pt>
              </c:strCache>
            </c:strRef>
          </c:cat>
          <c:val>
            <c:numRef>
              <c:f>BC!$E$255:$E$263</c:f>
              <c:numCache>
                <c:formatCode>0.0%</c:formatCode>
                <c:ptCount val="9"/>
                <c:pt idx="0">
                  <c:v>0.21638326585695011</c:v>
                </c:pt>
                <c:pt idx="1">
                  <c:v>0.19272583514528563</c:v>
                </c:pt>
                <c:pt idx="2">
                  <c:v>0.26103500761034992</c:v>
                </c:pt>
                <c:pt idx="3">
                  <c:v>0.1828417449566673</c:v>
                </c:pt>
                <c:pt idx="4">
                  <c:v>0.27113348377017865</c:v>
                </c:pt>
                <c:pt idx="5">
                  <c:v>4.8832271762208085E-2</c:v>
                </c:pt>
                <c:pt idx="6">
                  <c:v>0.25279100508034574</c:v>
                </c:pt>
                <c:pt idx="7">
                  <c:v>5.4811585175957536E-2</c:v>
                </c:pt>
                <c:pt idx="8">
                  <c:v>0.2504012841091493</c:v>
                </c:pt>
              </c:numCache>
            </c:numRef>
          </c:val>
        </c:ser>
        <c:ser>
          <c:idx val="5"/>
          <c:order val="1"/>
          <c:tx>
            <c:strRef>
              <c:f>BC!$G$254</c:f>
              <c:strCache>
                <c:ptCount val="1"/>
                <c:pt idx="0">
                  <c:v>% change</c:v>
                </c:pt>
              </c:strCache>
            </c:strRef>
          </c:tx>
          <c:spPr>
            <a:solidFill>
              <a:schemeClr val="accent3"/>
            </a:solidFill>
          </c:spPr>
          <c:cat>
            <c:strRef>
              <c:f>BC!$A$255:$A$263</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Total SA, incl. FN</c:v>
                </c:pt>
                <c:pt idx="7">
                  <c:v>Workers' Compensation </c:v>
                </c:pt>
                <c:pt idx="8">
                  <c:v>Private Disability Insurance</c:v>
                </c:pt>
              </c:strCache>
            </c:strRef>
          </c:cat>
          <c:val>
            <c:numRef>
              <c:f>BC!$G$255:$G$263</c:f>
              <c:numCache>
                <c:formatCode>0.0%</c:formatCode>
                <c:ptCount val="9"/>
                <c:pt idx="0">
                  <c:v>0.31049572649572676</c:v>
                </c:pt>
                <c:pt idx="1">
                  <c:v>0.26111879818145883</c:v>
                </c:pt>
                <c:pt idx="2">
                  <c:v>0.25799086757990869</c:v>
                </c:pt>
                <c:pt idx="3">
                  <c:v>0.12701187094894742</c:v>
                </c:pt>
                <c:pt idx="4">
                  <c:v>0.34889776080541574</c:v>
                </c:pt>
                <c:pt idx="5">
                  <c:v>6.7940552016985054E-2</c:v>
                </c:pt>
                <c:pt idx="6">
                  <c:v>0.32571546877737251</c:v>
                </c:pt>
                <c:pt idx="7">
                  <c:v>7.8635938959825596E-2</c:v>
                </c:pt>
                <c:pt idx="8">
                  <c:v>0.30818619582664525</c:v>
                </c:pt>
              </c:numCache>
            </c:numRef>
          </c:val>
        </c:ser>
        <c:ser>
          <c:idx val="7"/>
          <c:order val="2"/>
          <c:tx>
            <c:strRef>
              <c:f>BC!$I$254</c:f>
              <c:strCache>
                <c:ptCount val="1"/>
                <c:pt idx="0">
                  <c:v>% change 05-06 to 11-12</c:v>
                </c:pt>
              </c:strCache>
            </c:strRef>
          </c:tx>
          <c:spPr>
            <a:solidFill>
              <a:schemeClr val="accent6">
                <a:lumMod val="75000"/>
              </a:schemeClr>
            </a:solidFill>
          </c:spPr>
          <c:cat>
            <c:strRef>
              <c:f>BC!$A$255:$A$263</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Total SA, incl. FN</c:v>
                </c:pt>
                <c:pt idx="7">
                  <c:v>Workers' Compensation </c:v>
                </c:pt>
                <c:pt idx="8">
                  <c:v>Private Disability Insurance</c:v>
                </c:pt>
              </c:strCache>
            </c:strRef>
          </c:cat>
          <c:val>
            <c:numRef>
              <c:f>BC!$I$255:$I$263</c:f>
              <c:numCache>
                <c:formatCode>0.0%</c:formatCode>
                <c:ptCount val="9"/>
                <c:pt idx="0">
                  <c:v>0.36036104363472815</c:v>
                </c:pt>
                <c:pt idx="1">
                  <c:v>0.3579758845621665</c:v>
                </c:pt>
                <c:pt idx="2">
                  <c:v>0.25342465753424642</c:v>
                </c:pt>
                <c:pt idx="3">
                  <c:v>8.0887529434612512E-2</c:v>
                </c:pt>
                <c:pt idx="4">
                  <c:v>0.42961291442457905</c:v>
                </c:pt>
                <c:pt idx="5">
                  <c:v>6.369426751592365E-2</c:v>
                </c:pt>
                <c:pt idx="6">
                  <c:v>0.39942029908744869</c:v>
                </c:pt>
                <c:pt idx="7">
                  <c:v>0.15602616007474296</c:v>
                </c:pt>
                <c:pt idx="8">
                  <c:v>0.33707865168539325</c:v>
                </c:pt>
              </c:numCache>
            </c:numRef>
          </c:val>
        </c:ser>
        <c:dLbls/>
        <c:gapWidth val="75"/>
        <c:axId val="138517888"/>
        <c:axId val="138527872"/>
      </c:barChart>
      <c:catAx>
        <c:axId val="138517888"/>
        <c:scaling>
          <c:orientation val="minMax"/>
        </c:scaling>
        <c:axPos val="b"/>
        <c:majorTickMark val="none"/>
        <c:tickLblPos val="nextTo"/>
        <c:txPr>
          <a:bodyPr/>
          <a:lstStyle/>
          <a:p>
            <a:pPr>
              <a:defRPr sz="1100" b="1"/>
            </a:pPr>
            <a:endParaRPr lang="en-US"/>
          </a:p>
        </c:txPr>
        <c:crossAx val="138527872"/>
        <c:crosses val="autoZero"/>
        <c:auto val="1"/>
        <c:lblAlgn val="ctr"/>
        <c:lblOffset val="100"/>
      </c:catAx>
      <c:valAx>
        <c:axId val="138527872"/>
        <c:scaling>
          <c:orientation val="minMax"/>
        </c:scaling>
        <c:axPos val="l"/>
        <c:majorGridlines/>
        <c:numFmt formatCode="0%" sourceLinked="0"/>
        <c:majorTickMark val="none"/>
        <c:tickLblPos val="nextTo"/>
        <c:crossAx val="138517888"/>
        <c:crosses val="autoZero"/>
        <c:crossBetween val="between"/>
      </c:valAx>
    </c:plotArea>
    <c:plotVisOnly val="1"/>
    <c:dispBlanksAs val="gap"/>
  </c:chart>
  <c:userShapes r:id="rId1"/>
</c:chartSpace>
</file>

<file path=xl/charts/chart5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a:t>INCOME SUPPORT FOR THE DISABLED:</a:t>
            </a:r>
          </a:p>
          <a:p>
            <a:pPr>
              <a:defRPr/>
            </a:pPr>
            <a:r>
              <a:rPr lang="en-US"/>
              <a:t>PERCENTAGE INCREASE FROM 2005-06 TO </a:t>
            </a:r>
          </a:p>
          <a:p>
            <a:pPr>
              <a:defRPr/>
            </a:pPr>
            <a:r>
              <a:rPr lang="en-US"/>
              <a:t>2009-10, 2010-11 AND 2011-12</a:t>
            </a:r>
            <a:endParaRPr lang="en-CA"/>
          </a:p>
          <a:p>
            <a:pPr>
              <a:defRPr/>
            </a:pPr>
            <a:r>
              <a:rPr lang="en-US"/>
              <a:t>BRITISH COLUMBIA</a:t>
            </a:r>
            <a:endParaRPr lang="en-CA"/>
          </a:p>
        </c:rich>
      </c:tx>
    </c:title>
    <c:plotArea>
      <c:layout>
        <c:manualLayout>
          <c:layoutTarget val="inner"/>
          <c:xMode val="edge"/>
          <c:yMode val="edge"/>
          <c:x val="4.8431636860524423E-2"/>
          <c:y val="0.21186154707487151"/>
          <c:w val="0.93545662309000344"/>
          <c:h val="0.69262240648606765"/>
        </c:manualLayout>
      </c:layout>
      <c:barChart>
        <c:barDir val="col"/>
        <c:grouping val="clustered"/>
        <c:ser>
          <c:idx val="3"/>
          <c:order val="0"/>
          <c:tx>
            <c:strRef>
              <c:f>BC!$E$266</c:f>
              <c:strCache>
                <c:ptCount val="1"/>
                <c:pt idx="0">
                  <c:v>2009-10</c:v>
                </c:pt>
              </c:strCache>
            </c:strRef>
          </c:tx>
          <c:spPr>
            <a:solidFill>
              <a:schemeClr val="accent1"/>
            </a:solidFill>
          </c:spPr>
          <c:dLbls>
            <c:dLbl>
              <c:idx val="2"/>
              <c:layout>
                <c:manualLayout>
                  <c:x val="0"/>
                  <c:y val="6.0530418044355931E-3"/>
                </c:manualLayout>
              </c:layout>
              <c:showVal val="1"/>
            </c:dLbl>
            <c:txPr>
              <a:bodyPr/>
              <a:lstStyle/>
              <a:p>
                <a:pPr>
                  <a:defRPr sz="1400" b="1"/>
                </a:pPr>
                <a:endParaRPr lang="en-US"/>
              </a:p>
            </c:txPr>
            <c:showVal val="1"/>
          </c:dLbls>
          <c:cat>
            <c:strRef>
              <c:f>BC!$A$267:$A$269</c:f>
              <c:strCache>
                <c:ptCount val="3"/>
                <c:pt idx="0">
                  <c:v>Income Assistance for the Disabled (IAD), incl. FN</c:v>
                </c:pt>
                <c:pt idx="1">
                  <c:v>Total Income Support for the Disabled</c:v>
                </c:pt>
                <c:pt idx="2">
                  <c:v>Total Income Support for the Disabled excl. IAD &amp; FN</c:v>
                </c:pt>
              </c:strCache>
            </c:strRef>
          </c:cat>
          <c:val>
            <c:numRef>
              <c:f>BC!$E$267:$E$269</c:f>
              <c:numCache>
                <c:formatCode>0.0%</c:formatCode>
                <c:ptCount val="3"/>
                <c:pt idx="0">
                  <c:v>0.25279100508034574</c:v>
                </c:pt>
                <c:pt idx="1">
                  <c:v>0.19144638955777188</c:v>
                </c:pt>
                <c:pt idx="2">
                  <c:v>0.17575221729309362</c:v>
                </c:pt>
              </c:numCache>
            </c:numRef>
          </c:val>
        </c:ser>
        <c:ser>
          <c:idx val="0"/>
          <c:order val="1"/>
          <c:tx>
            <c:strRef>
              <c:f>BC!$G$266</c:f>
              <c:strCache>
                <c:ptCount val="1"/>
                <c:pt idx="0">
                  <c:v>2010-11</c:v>
                </c:pt>
              </c:strCache>
            </c:strRef>
          </c:tx>
          <c:spPr>
            <a:solidFill>
              <a:schemeClr val="accent3"/>
            </a:solidFill>
          </c:spPr>
          <c:dLbls>
            <c:dLbl>
              <c:idx val="0"/>
              <c:layout>
                <c:manualLayout>
                  <c:x val="0"/>
                  <c:y val="8.0707224059141207E-3"/>
                </c:manualLayout>
              </c:layout>
              <c:showVal val="1"/>
            </c:dLbl>
            <c:dLbl>
              <c:idx val="1"/>
              <c:layout>
                <c:manualLayout>
                  <c:x val="0"/>
                  <c:y val="-1.0088403007392655E-2"/>
                </c:manualLayout>
              </c:layout>
              <c:showVal val="1"/>
            </c:dLbl>
            <c:txPr>
              <a:bodyPr/>
              <a:lstStyle/>
              <a:p>
                <a:pPr>
                  <a:defRPr sz="1400" b="1"/>
                </a:pPr>
                <a:endParaRPr lang="en-US"/>
              </a:p>
            </c:txPr>
            <c:showVal val="1"/>
          </c:dLbls>
          <c:cat>
            <c:strRef>
              <c:f>BC!$A$267:$A$269</c:f>
              <c:strCache>
                <c:ptCount val="3"/>
                <c:pt idx="0">
                  <c:v>Income Assistance for the Disabled (IAD), incl. FN</c:v>
                </c:pt>
                <c:pt idx="1">
                  <c:v>Total Income Support for the Disabled</c:v>
                </c:pt>
                <c:pt idx="2">
                  <c:v>Total Income Support for the Disabled excl. IAD &amp; FN</c:v>
                </c:pt>
              </c:strCache>
            </c:strRef>
          </c:cat>
          <c:val>
            <c:numRef>
              <c:f>BC!$G$267:$G$269</c:f>
              <c:numCache>
                <c:formatCode>0.0%</c:formatCode>
                <c:ptCount val="3"/>
                <c:pt idx="0">
                  <c:v>0.32571546877737251</c:v>
                </c:pt>
                <c:pt idx="1">
                  <c:v>0.23486033273052767</c:v>
                </c:pt>
                <c:pt idx="2">
                  <c:v>0.21161630154534139</c:v>
                </c:pt>
              </c:numCache>
            </c:numRef>
          </c:val>
        </c:ser>
        <c:ser>
          <c:idx val="1"/>
          <c:order val="2"/>
          <c:tx>
            <c:strRef>
              <c:f>BC!$I$266</c:f>
              <c:strCache>
                <c:ptCount val="1"/>
                <c:pt idx="0">
                  <c:v>2011-12</c:v>
                </c:pt>
              </c:strCache>
            </c:strRef>
          </c:tx>
          <c:spPr>
            <a:solidFill>
              <a:schemeClr val="accent6">
                <a:lumMod val="75000"/>
              </a:schemeClr>
            </a:solidFill>
          </c:spPr>
          <c:dLbls>
            <c:dLbl>
              <c:idx val="0"/>
              <c:numFmt formatCode="0.0%" sourceLinked="0"/>
              <c:spPr/>
              <c:txPr>
                <a:bodyPr/>
                <a:lstStyle/>
                <a:p>
                  <a:pPr>
                    <a:defRPr sz="1400" b="1"/>
                  </a:pPr>
                  <a:endParaRPr lang="en-US"/>
                </a:p>
              </c:txPr>
            </c:dLbl>
            <c:dLbl>
              <c:idx val="1"/>
              <c:layout>
                <c:manualLayout>
                  <c:x val="0"/>
                  <c:y val="-8.0707224059141189E-3"/>
                </c:manualLayout>
              </c:layout>
              <c:showVal val="1"/>
            </c:dLbl>
            <c:txPr>
              <a:bodyPr/>
              <a:lstStyle/>
              <a:p>
                <a:pPr>
                  <a:defRPr sz="1400" b="1"/>
                </a:pPr>
                <a:endParaRPr lang="en-US"/>
              </a:p>
            </c:txPr>
            <c:showVal val="1"/>
          </c:dLbls>
          <c:cat>
            <c:strRef>
              <c:f>BC!$A$267:$A$269</c:f>
              <c:strCache>
                <c:ptCount val="3"/>
                <c:pt idx="0">
                  <c:v>Income Assistance for the Disabled (IAD), incl. FN</c:v>
                </c:pt>
                <c:pt idx="1">
                  <c:v>Total Income Support for the Disabled</c:v>
                </c:pt>
                <c:pt idx="2">
                  <c:v>Total Income Support for the Disabled excl. IAD &amp; FN</c:v>
                </c:pt>
              </c:strCache>
            </c:strRef>
          </c:cat>
          <c:val>
            <c:numRef>
              <c:f>BC!$I$267:$I$269</c:f>
              <c:numCache>
                <c:formatCode>0.0%</c:formatCode>
                <c:ptCount val="3"/>
                <c:pt idx="0">
                  <c:v>0.39942029908744869</c:v>
                </c:pt>
                <c:pt idx="1">
                  <c:v>0.28620751566872832</c:v>
                </c:pt>
                <c:pt idx="2">
                  <c:v>0.25724358932570179</c:v>
                </c:pt>
              </c:numCache>
            </c:numRef>
          </c:val>
        </c:ser>
        <c:dLbls/>
        <c:gapWidth val="75"/>
        <c:axId val="138817536"/>
        <c:axId val="138819072"/>
      </c:barChart>
      <c:catAx>
        <c:axId val="138817536"/>
        <c:scaling>
          <c:orientation val="minMax"/>
        </c:scaling>
        <c:delete val="1"/>
        <c:axPos val="b"/>
        <c:majorTickMark val="none"/>
        <c:tickLblPos val="none"/>
        <c:crossAx val="138819072"/>
        <c:crosses val="autoZero"/>
        <c:auto val="1"/>
        <c:lblAlgn val="ctr"/>
        <c:lblOffset val="100"/>
      </c:catAx>
      <c:valAx>
        <c:axId val="138819072"/>
        <c:scaling>
          <c:orientation val="minMax"/>
        </c:scaling>
        <c:axPos val="l"/>
        <c:majorGridlines/>
        <c:numFmt formatCode="0%" sourceLinked="0"/>
        <c:majorTickMark val="none"/>
        <c:tickLblPos val="nextTo"/>
        <c:crossAx val="138817536"/>
        <c:crosses val="autoZero"/>
        <c:crossBetween val="between"/>
      </c:valAx>
    </c:plotArea>
    <c:legend>
      <c:legendPos val="b"/>
      <c:layout>
        <c:manualLayout>
          <c:xMode val="edge"/>
          <c:yMode val="edge"/>
          <c:x val="0.29345902566529836"/>
          <c:y val="0.94652431479884513"/>
          <c:w val="0.42040546687371039"/>
          <c:h val="4.1369601592283624E-2"/>
        </c:manualLayout>
      </c:layout>
      <c:txPr>
        <a:bodyPr/>
        <a:lstStyle/>
        <a:p>
          <a:pPr>
            <a:defRPr sz="1200" b="1"/>
          </a:pPr>
          <a:endParaRPr lang="en-US"/>
        </a:p>
      </c:txPr>
    </c:legend>
    <c:plotVisOnly val="1"/>
    <c:dispBlanksAs val="gap"/>
  </c:chart>
  <c:userShapes r:id="rId1"/>
</c:chartSpace>
</file>

<file path=xl/charts/chart5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a:t>
            </a:r>
          </a:p>
          <a:p>
            <a:pPr>
              <a:defRPr lang="en-US"/>
            </a:pPr>
            <a:r>
              <a:rPr lang="en-US" sz="1800" b="1" i="0" baseline="0"/>
              <a:t>2009-10 and 2010-11 </a:t>
            </a:r>
            <a:endParaRPr lang="en-US"/>
          </a:p>
          <a:p>
            <a:pPr>
              <a:defRPr lang="en-US"/>
            </a:pPr>
            <a:r>
              <a:rPr lang="en-US" sz="1800" b="1" i="0" baseline="0"/>
              <a:t>British Columbia</a:t>
            </a:r>
            <a:endParaRPr lang="en-US"/>
          </a:p>
        </c:rich>
      </c:tx>
    </c:title>
    <c:plotArea>
      <c:layout>
        <c:manualLayout>
          <c:layoutTarget val="inner"/>
          <c:xMode val="edge"/>
          <c:yMode val="edge"/>
          <c:x val="5.9489904185670413E-2"/>
          <c:y val="0.21991862303701692"/>
          <c:w val="0.92252955820804061"/>
          <c:h val="0.63155714802795637"/>
        </c:manualLayout>
      </c:layout>
      <c:barChart>
        <c:barDir val="col"/>
        <c:grouping val="clustered"/>
        <c:ser>
          <c:idx val="3"/>
          <c:order val="0"/>
          <c:spPr>
            <a:solidFill>
              <a:schemeClr val="accent1"/>
            </a:solidFill>
          </c:spPr>
          <c:cat>
            <c:strRef>
              <c:f>BC!$A$255:$A$263</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Total SA, incl. FN</c:v>
                </c:pt>
                <c:pt idx="7">
                  <c:v>Workers' Compensation </c:v>
                </c:pt>
                <c:pt idx="8">
                  <c:v>Private Disability Insurance</c:v>
                </c:pt>
              </c:strCache>
            </c:strRef>
          </c:cat>
          <c:val>
            <c:numRef>
              <c:f>BC!$E$255:$E$263</c:f>
              <c:numCache>
                <c:formatCode>0.0%</c:formatCode>
                <c:ptCount val="9"/>
                <c:pt idx="0">
                  <c:v>0.21638326585695011</c:v>
                </c:pt>
                <c:pt idx="1">
                  <c:v>0.19272583514528563</c:v>
                </c:pt>
                <c:pt idx="2">
                  <c:v>0.26103500761034992</c:v>
                </c:pt>
                <c:pt idx="3">
                  <c:v>0.1828417449566673</c:v>
                </c:pt>
                <c:pt idx="4">
                  <c:v>0.27113348377017865</c:v>
                </c:pt>
                <c:pt idx="5">
                  <c:v>4.8832271762208085E-2</c:v>
                </c:pt>
                <c:pt idx="6">
                  <c:v>0.25279100508034574</c:v>
                </c:pt>
                <c:pt idx="7">
                  <c:v>5.4811585175957536E-2</c:v>
                </c:pt>
                <c:pt idx="8">
                  <c:v>0.2504012841091493</c:v>
                </c:pt>
              </c:numCache>
            </c:numRef>
          </c:val>
        </c:ser>
        <c:ser>
          <c:idx val="5"/>
          <c:order val="1"/>
          <c:spPr>
            <a:solidFill>
              <a:schemeClr val="accent3"/>
            </a:solidFill>
          </c:spPr>
          <c:cat>
            <c:strRef>
              <c:f>BC!$A$255:$A$263</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Total SA, incl. FN</c:v>
                </c:pt>
                <c:pt idx="7">
                  <c:v>Workers' Compensation </c:v>
                </c:pt>
                <c:pt idx="8">
                  <c:v>Private Disability Insurance</c:v>
                </c:pt>
              </c:strCache>
            </c:strRef>
          </c:cat>
          <c:val>
            <c:numRef>
              <c:f>BC!$G$255:$G$263</c:f>
              <c:numCache>
                <c:formatCode>0.0%</c:formatCode>
                <c:ptCount val="9"/>
                <c:pt idx="0">
                  <c:v>0.31049572649572676</c:v>
                </c:pt>
                <c:pt idx="1">
                  <c:v>0.26111879818145883</c:v>
                </c:pt>
                <c:pt idx="2">
                  <c:v>0.25799086757990869</c:v>
                </c:pt>
                <c:pt idx="3">
                  <c:v>0.12701187094894742</c:v>
                </c:pt>
                <c:pt idx="4">
                  <c:v>0.34889776080541574</c:v>
                </c:pt>
                <c:pt idx="5">
                  <c:v>6.7940552016985054E-2</c:v>
                </c:pt>
                <c:pt idx="6">
                  <c:v>0.32571546877737251</c:v>
                </c:pt>
                <c:pt idx="7">
                  <c:v>7.8635938959825596E-2</c:v>
                </c:pt>
                <c:pt idx="8">
                  <c:v>0.30818619582664525</c:v>
                </c:pt>
              </c:numCache>
            </c:numRef>
          </c:val>
        </c:ser>
        <c:dLbls/>
        <c:gapWidth val="75"/>
        <c:axId val="139086848"/>
        <c:axId val="139105024"/>
      </c:barChart>
      <c:catAx>
        <c:axId val="139086848"/>
        <c:scaling>
          <c:orientation val="minMax"/>
        </c:scaling>
        <c:axPos val="b"/>
        <c:majorTickMark val="none"/>
        <c:tickLblPos val="nextTo"/>
        <c:txPr>
          <a:bodyPr/>
          <a:lstStyle/>
          <a:p>
            <a:pPr>
              <a:defRPr lang="en-US" sz="1100" b="1" i="0" baseline="0"/>
            </a:pPr>
            <a:endParaRPr lang="en-US"/>
          </a:p>
        </c:txPr>
        <c:crossAx val="139105024"/>
        <c:crosses val="autoZero"/>
        <c:auto val="1"/>
        <c:lblAlgn val="ctr"/>
        <c:lblOffset val="100"/>
      </c:catAx>
      <c:valAx>
        <c:axId val="139105024"/>
        <c:scaling>
          <c:orientation val="minMax"/>
        </c:scaling>
        <c:axPos val="l"/>
        <c:majorGridlines/>
        <c:numFmt formatCode="0%" sourceLinked="0"/>
        <c:majorTickMark val="none"/>
        <c:tickLblPos val="nextTo"/>
        <c:txPr>
          <a:bodyPr/>
          <a:lstStyle/>
          <a:p>
            <a:pPr>
              <a:defRPr lang="en-US"/>
            </a:pPr>
            <a:endParaRPr lang="en-US"/>
          </a:p>
        </c:txPr>
        <c:crossAx val="139086848"/>
        <c:crosses val="autoZero"/>
        <c:crossBetween val="between"/>
      </c:valAx>
    </c:plotArea>
    <c:plotVisOnly val="1"/>
    <c:dispBlanksAs val="gap"/>
  </c:chart>
  <c:userShapes r:id="rId1"/>
</c:chartSpace>
</file>

<file path=xl/charts/chart5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a:t>
            </a:r>
            <a:endParaRPr lang="en-US"/>
          </a:p>
          <a:p>
            <a:pPr>
              <a:defRPr lang="en-US"/>
            </a:pPr>
            <a:r>
              <a:rPr lang="en-US" sz="1800" b="1" i="0" baseline="0"/>
              <a:t>2009-10 AND 2010-11</a:t>
            </a:r>
          </a:p>
          <a:p>
            <a:pPr>
              <a:defRPr lang="en-US"/>
            </a:pPr>
            <a:r>
              <a:rPr lang="en-US" sz="1800" b="1" i="0" baseline="0"/>
              <a:t>BRITISH COLUMBIA</a:t>
            </a:r>
            <a:endParaRPr lang="en-US"/>
          </a:p>
        </c:rich>
      </c:tx>
    </c:title>
    <c:plotArea>
      <c:layout>
        <c:manualLayout>
          <c:layoutTarget val="inner"/>
          <c:xMode val="edge"/>
          <c:yMode val="edge"/>
          <c:x val="4.1062494167849392E-2"/>
          <c:y val="0.22379966598296894"/>
          <c:w val="0.93552825756624469"/>
          <c:h val="0.70122827460519355"/>
        </c:manualLayout>
      </c:layout>
      <c:barChart>
        <c:barDir val="col"/>
        <c:grouping val="clustered"/>
        <c:ser>
          <c:idx val="3"/>
          <c:order val="0"/>
          <c:tx>
            <c:strRef>
              <c:f>BC!$E$266</c:f>
              <c:strCache>
                <c:ptCount val="1"/>
                <c:pt idx="0">
                  <c:v>2009-10</c:v>
                </c:pt>
              </c:strCache>
            </c:strRef>
          </c:tx>
          <c:spPr>
            <a:solidFill>
              <a:schemeClr val="accent1"/>
            </a:solidFill>
          </c:spPr>
          <c:dLbls>
            <c:dLbl>
              <c:idx val="1"/>
              <c:layout>
                <c:manualLayout>
                  <c:x val="2.9261560332383679E-3"/>
                  <c:y val="-4.0323348806492404E-3"/>
                </c:manualLayout>
              </c:layout>
              <c:showVal val="1"/>
            </c:dLbl>
            <c:txPr>
              <a:bodyPr/>
              <a:lstStyle/>
              <a:p>
                <a:pPr>
                  <a:defRPr lang="en-US" sz="1400" b="1" i="0" baseline="0"/>
                </a:pPr>
                <a:endParaRPr lang="en-US"/>
              </a:p>
            </c:txPr>
            <c:showVal val="1"/>
          </c:dLbls>
          <c:cat>
            <c:strRef>
              <c:f>BC!$A$267:$A$269</c:f>
              <c:strCache>
                <c:ptCount val="3"/>
                <c:pt idx="0">
                  <c:v>Income Assistance for the Disabled (IAD), incl. FN</c:v>
                </c:pt>
                <c:pt idx="1">
                  <c:v>Total Income Support for the Disabled</c:v>
                </c:pt>
                <c:pt idx="2">
                  <c:v>Total Income Support for the Disabled excl. IAD &amp; FN</c:v>
                </c:pt>
              </c:strCache>
            </c:strRef>
          </c:cat>
          <c:val>
            <c:numRef>
              <c:f>BC!$E$267:$E$269</c:f>
              <c:numCache>
                <c:formatCode>0.0%</c:formatCode>
                <c:ptCount val="3"/>
                <c:pt idx="0">
                  <c:v>0.25279100508034574</c:v>
                </c:pt>
                <c:pt idx="1">
                  <c:v>0.19144638955777188</c:v>
                </c:pt>
                <c:pt idx="2">
                  <c:v>0.17575221729309362</c:v>
                </c:pt>
              </c:numCache>
            </c:numRef>
          </c:val>
        </c:ser>
        <c:ser>
          <c:idx val="0"/>
          <c:order val="1"/>
          <c:tx>
            <c:strRef>
              <c:f>BC!$G$266</c:f>
              <c:strCache>
                <c:ptCount val="1"/>
                <c:pt idx="0">
                  <c:v>2010-11</c:v>
                </c:pt>
              </c:strCache>
            </c:strRef>
          </c:tx>
          <c:spPr>
            <a:solidFill>
              <a:schemeClr val="accent3"/>
            </a:solidFill>
          </c:spPr>
          <c:dLbls>
            <c:txPr>
              <a:bodyPr/>
              <a:lstStyle/>
              <a:p>
                <a:pPr>
                  <a:defRPr sz="1400" b="1"/>
                </a:pPr>
                <a:endParaRPr lang="en-US"/>
              </a:p>
            </c:txPr>
            <c:showVal val="1"/>
          </c:dLbls>
          <c:cat>
            <c:strRef>
              <c:f>BC!$A$267:$A$269</c:f>
              <c:strCache>
                <c:ptCount val="3"/>
                <c:pt idx="0">
                  <c:v>Income Assistance for the Disabled (IAD), incl. FN</c:v>
                </c:pt>
                <c:pt idx="1">
                  <c:v>Total Income Support for the Disabled</c:v>
                </c:pt>
                <c:pt idx="2">
                  <c:v>Total Income Support for the Disabled excl. IAD &amp; FN</c:v>
                </c:pt>
              </c:strCache>
            </c:strRef>
          </c:cat>
          <c:val>
            <c:numRef>
              <c:f>BC!$G$267:$G$269</c:f>
              <c:numCache>
                <c:formatCode>0.0%</c:formatCode>
                <c:ptCount val="3"/>
                <c:pt idx="0">
                  <c:v>0.32571546877737251</c:v>
                </c:pt>
                <c:pt idx="1">
                  <c:v>0.23486033273052767</c:v>
                </c:pt>
                <c:pt idx="2">
                  <c:v>0.21161630154534139</c:v>
                </c:pt>
              </c:numCache>
            </c:numRef>
          </c:val>
        </c:ser>
        <c:dLbls/>
        <c:gapWidth val="50"/>
        <c:axId val="139147136"/>
        <c:axId val="139148672"/>
      </c:barChart>
      <c:catAx>
        <c:axId val="139147136"/>
        <c:scaling>
          <c:orientation val="minMax"/>
        </c:scaling>
        <c:delete val="1"/>
        <c:axPos val="b"/>
        <c:majorTickMark val="none"/>
        <c:tickLblPos val="none"/>
        <c:crossAx val="139148672"/>
        <c:crosses val="autoZero"/>
        <c:auto val="1"/>
        <c:lblAlgn val="ctr"/>
        <c:lblOffset val="100"/>
      </c:catAx>
      <c:valAx>
        <c:axId val="139148672"/>
        <c:scaling>
          <c:orientation val="minMax"/>
        </c:scaling>
        <c:axPos val="l"/>
        <c:majorGridlines/>
        <c:numFmt formatCode="0%" sourceLinked="0"/>
        <c:majorTickMark val="none"/>
        <c:tickLblPos val="nextTo"/>
        <c:txPr>
          <a:bodyPr/>
          <a:lstStyle/>
          <a:p>
            <a:pPr>
              <a:defRPr lang="en-US"/>
            </a:pPr>
            <a:endParaRPr lang="en-US"/>
          </a:p>
        </c:txPr>
        <c:crossAx val="139147136"/>
        <c:crosses val="autoZero"/>
        <c:crossBetween val="between"/>
      </c:valAx>
    </c:plotArea>
    <c:legend>
      <c:legendPos val="b"/>
      <c:layout>
        <c:manualLayout>
          <c:xMode val="edge"/>
          <c:yMode val="edge"/>
          <c:x val="0.33853851178469746"/>
          <c:y val="0.95144481416334636"/>
          <c:w val="0.32241308798168039"/>
          <c:h val="4.6208493938797432E-2"/>
        </c:manualLayout>
      </c:layout>
      <c:txPr>
        <a:bodyPr/>
        <a:lstStyle/>
        <a:p>
          <a:pPr>
            <a:defRPr lang="en-US" sz="1400" b="1"/>
          </a:pPr>
          <a:endParaRPr lang="en-US"/>
        </a:p>
      </c:txPr>
    </c:legend>
    <c:plotVisOnly val="1"/>
    <c:dispBlanksAs val="gap"/>
  </c:chart>
  <c:userShapes r:id="rId1"/>
</c:chartSpace>
</file>

<file path=xl/charts/chart5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PERSONS WITH DISABILITIES:</a:t>
            </a:r>
          </a:p>
          <a:p>
            <a:pPr>
              <a:defRPr lang="en-US"/>
            </a:pPr>
            <a:r>
              <a:rPr lang="en-US" sz="1800" b="1" i="0" baseline="0"/>
              <a:t>PERCENTAGE CHANGE FROM 2005 TO 2013</a:t>
            </a:r>
          </a:p>
          <a:p>
            <a:pPr>
              <a:defRPr lang="en-US"/>
            </a:pPr>
            <a:r>
              <a:rPr lang="en-US" sz="1800" b="1" i="0" baseline="0"/>
              <a:t>BRITISH COLUMBIA</a:t>
            </a:r>
            <a:endParaRPr lang="en-US"/>
          </a:p>
        </c:rich>
      </c:tx>
    </c:title>
    <c:plotArea>
      <c:layout>
        <c:manualLayout>
          <c:layoutTarget val="inner"/>
          <c:xMode val="edge"/>
          <c:yMode val="edge"/>
          <c:x val="6.9755416450299104E-2"/>
          <c:y val="0.16937593028596859"/>
          <c:w val="0.92439026976170857"/>
          <c:h val="0.75149377460328515"/>
        </c:manualLayout>
      </c:layout>
      <c:barChart>
        <c:barDir val="col"/>
        <c:grouping val="clustered"/>
        <c:ser>
          <c:idx val="0"/>
          <c:order val="0"/>
          <c:spPr>
            <a:solidFill>
              <a:srgbClr val="F79646">
                <a:lumMod val="75000"/>
              </a:srgbClr>
            </a:solidFill>
          </c:spPr>
          <c:dLbls>
            <c:txPr>
              <a:bodyPr/>
              <a:lstStyle/>
              <a:p>
                <a:pPr>
                  <a:defRPr sz="1400" b="1"/>
                </a:pPr>
                <a:endParaRPr lang="en-US"/>
              </a:p>
            </c:txPr>
            <c:showVal val="1"/>
          </c:dLbls>
          <c:cat>
            <c:strRef>
              <c:f>BC!$A$267:$A$269</c:f>
              <c:strCache>
                <c:ptCount val="3"/>
                <c:pt idx="0">
                  <c:v>Income Assistance for the Disabled (IAD), incl. FN</c:v>
                </c:pt>
                <c:pt idx="1">
                  <c:v>Total Income Support for the Disabled</c:v>
                </c:pt>
                <c:pt idx="2">
                  <c:v>Total Income Support for the Disabled excl. IAD &amp; FN</c:v>
                </c:pt>
              </c:strCache>
            </c:strRef>
          </c:cat>
          <c:val>
            <c:numRef>
              <c:f>BC!$M$267:$M$269</c:f>
              <c:numCache>
                <c:formatCode>0.0%</c:formatCode>
                <c:ptCount val="3"/>
                <c:pt idx="0">
                  <c:v>0.54149798538007021</c:v>
                </c:pt>
                <c:pt idx="1">
                  <c:v>0.39729991428350803</c:v>
                </c:pt>
                <c:pt idx="2">
                  <c:v>0.36040883022102832</c:v>
                </c:pt>
              </c:numCache>
            </c:numRef>
          </c:val>
        </c:ser>
        <c:dLbls/>
        <c:gapWidth val="50"/>
        <c:axId val="139317248"/>
        <c:axId val="139318784"/>
      </c:barChart>
      <c:catAx>
        <c:axId val="139317248"/>
        <c:scaling>
          <c:orientation val="minMax"/>
        </c:scaling>
        <c:delete val="1"/>
        <c:axPos val="b"/>
        <c:majorTickMark val="none"/>
        <c:tickLblPos val="none"/>
        <c:crossAx val="139318784"/>
        <c:crosses val="autoZero"/>
        <c:auto val="1"/>
        <c:lblAlgn val="ctr"/>
        <c:lblOffset val="100"/>
      </c:catAx>
      <c:valAx>
        <c:axId val="139318784"/>
        <c:scaling>
          <c:orientation val="minMax"/>
        </c:scaling>
        <c:axPos val="l"/>
        <c:majorGridlines/>
        <c:numFmt formatCode="0%" sourceLinked="0"/>
        <c:majorTickMark val="none"/>
        <c:tickLblPos val="nextTo"/>
        <c:txPr>
          <a:bodyPr/>
          <a:lstStyle/>
          <a:p>
            <a:pPr>
              <a:defRPr lang="en-US"/>
            </a:pPr>
            <a:endParaRPr lang="en-US"/>
          </a:p>
        </c:txPr>
        <c:crossAx val="139317248"/>
        <c:crosses val="autoZero"/>
        <c:crossBetween val="between"/>
      </c:valAx>
    </c:plotArea>
    <c:plotVisOnly val="1"/>
    <c:dispBlanksAs val="gap"/>
  </c:chart>
  <c:userShapes r:id="rId1"/>
</c:chartSpace>
</file>

<file path=xl/charts/chart5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2009-10</a:t>
            </a:r>
            <a:endParaRPr lang="en-US"/>
          </a:p>
          <a:p>
            <a:pPr>
              <a:defRPr lang="en-US"/>
            </a:pPr>
            <a:r>
              <a:rPr lang="en-US" sz="1800" b="1" i="0" baseline="0"/>
              <a:t>BRITISH COLUMBIA</a:t>
            </a:r>
            <a:endParaRPr lang="en-US"/>
          </a:p>
        </c:rich>
      </c:tx>
    </c:title>
    <c:plotArea>
      <c:layout>
        <c:manualLayout>
          <c:layoutTarget val="inner"/>
          <c:xMode val="edge"/>
          <c:yMode val="edge"/>
          <c:x val="5.7175902077151966E-2"/>
          <c:y val="0.17743880547551771"/>
          <c:w val="0.93550620568785758"/>
          <c:h val="0.80421307449176116"/>
        </c:manualLayout>
      </c:layout>
      <c:barChart>
        <c:barDir val="col"/>
        <c:grouping val="clustered"/>
        <c:ser>
          <c:idx val="0"/>
          <c:order val="0"/>
          <c:dLbls>
            <c:txPr>
              <a:bodyPr/>
              <a:lstStyle/>
              <a:p>
                <a:pPr>
                  <a:defRPr sz="1400" b="1"/>
                </a:pPr>
                <a:endParaRPr lang="en-US"/>
              </a:p>
            </c:txPr>
            <c:showVal val="1"/>
          </c:dLbls>
          <c:cat>
            <c:strRef>
              <c:f>BC!$A$267:$A$269</c:f>
              <c:strCache>
                <c:ptCount val="3"/>
                <c:pt idx="0">
                  <c:v>Income Assistance for the Disabled (IAD), incl. FN</c:v>
                </c:pt>
                <c:pt idx="1">
                  <c:v>Total Income Support for the Disabled</c:v>
                </c:pt>
                <c:pt idx="2">
                  <c:v>Total Income Support for the Disabled excl. IAD &amp; FN</c:v>
                </c:pt>
              </c:strCache>
            </c:strRef>
          </c:cat>
          <c:val>
            <c:numRef>
              <c:f>BC!$M$267:$M$269</c:f>
              <c:numCache>
                <c:formatCode>0.0%</c:formatCode>
                <c:ptCount val="3"/>
                <c:pt idx="0">
                  <c:v>0.54149798538007021</c:v>
                </c:pt>
                <c:pt idx="1">
                  <c:v>0.39729991428350803</c:v>
                </c:pt>
                <c:pt idx="2">
                  <c:v>0.36040883022102832</c:v>
                </c:pt>
              </c:numCache>
            </c:numRef>
          </c:val>
        </c:ser>
        <c:dLbls/>
        <c:gapWidth val="50"/>
        <c:axId val="139355648"/>
        <c:axId val="139357184"/>
      </c:barChart>
      <c:catAx>
        <c:axId val="139355648"/>
        <c:scaling>
          <c:orientation val="minMax"/>
        </c:scaling>
        <c:axPos val="b"/>
        <c:majorTickMark val="none"/>
        <c:tickLblPos val="none"/>
        <c:txPr>
          <a:bodyPr/>
          <a:lstStyle/>
          <a:p>
            <a:pPr>
              <a:defRPr lang="en-US"/>
            </a:pPr>
            <a:endParaRPr lang="en-US"/>
          </a:p>
        </c:txPr>
        <c:crossAx val="139357184"/>
        <c:crosses val="autoZero"/>
        <c:auto val="1"/>
        <c:lblAlgn val="ctr"/>
        <c:lblOffset val="100"/>
      </c:catAx>
      <c:valAx>
        <c:axId val="139357184"/>
        <c:scaling>
          <c:orientation val="minMax"/>
        </c:scaling>
        <c:axPos val="l"/>
        <c:majorGridlines/>
        <c:numFmt formatCode="0%" sourceLinked="0"/>
        <c:majorTickMark val="none"/>
        <c:tickLblPos val="nextTo"/>
        <c:txPr>
          <a:bodyPr/>
          <a:lstStyle/>
          <a:p>
            <a:pPr>
              <a:defRPr lang="en-US"/>
            </a:pPr>
            <a:endParaRPr lang="en-US"/>
          </a:p>
        </c:txPr>
        <c:crossAx val="139355648"/>
        <c:crosses val="autoZero"/>
        <c:crossBetween val="between"/>
      </c:valAx>
    </c:plotArea>
    <c:plotVisOnly val="1"/>
    <c:dispBlanksAs val="gap"/>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 </a:t>
            </a:r>
            <a:endParaRPr lang="en-US"/>
          </a:p>
          <a:p>
            <a:pPr>
              <a:defRPr lang="en-US"/>
            </a:pPr>
            <a:r>
              <a:rPr lang="en-US" sz="1800" b="1" i="0" baseline="0"/>
              <a:t>CANADA 2008-09 </a:t>
            </a:r>
            <a:br>
              <a:rPr lang="en-US" sz="1800" b="1" i="0" baseline="0"/>
            </a:br>
            <a:r>
              <a:rPr lang="en-US" sz="1800" b="1" i="0" baseline="0"/>
              <a:t>$26.4 B (revised)</a:t>
            </a:r>
          </a:p>
        </c:rich>
      </c:tx>
    </c:title>
    <c:plotArea>
      <c:layout>
        <c:manualLayout>
          <c:layoutTarget val="inner"/>
          <c:xMode val="edge"/>
          <c:yMode val="edge"/>
          <c:x val="0.24934098635046575"/>
          <c:y val="0.22626141936442656"/>
          <c:w val="0.50424518419307662"/>
          <c:h val="0.6944735339296263"/>
        </c:manualLayout>
      </c:layout>
      <c:pieChart>
        <c:varyColors val="1"/>
        <c:ser>
          <c:idx val="1"/>
          <c:order val="0"/>
          <c:tx>
            <c:strRef>
              <c:f>'CAN &amp; ON input to 2013-14'!$C$42</c:f>
              <c:strCache>
                <c:ptCount val="1"/>
                <c:pt idx="0">
                  <c:v>2008-09</c:v>
                </c:pt>
              </c:strCache>
            </c:strRef>
          </c:tx>
          <c:dLbls>
            <c:dLbl>
              <c:idx val="0"/>
              <c:layout>
                <c:manualLayout>
                  <c:x val="7.6137194691197618E-2"/>
                  <c:y val="4.4311054297115834E-2"/>
                </c:manualLayout>
              </c:layout>
              <c:tx>
                <c:rich>
                  <a:bodyPr/>
                  <a:lstStyle/>
                  <a:p>
                    <a:r>
                      <a:rPr lang="en-US"/>
                      <a:t>Disability Tax Measures $2 B</a:t>
                    </a:r>
                  </a:p>
                </c:rich>
              </c:tx>
              <c:showVal val="1"/>
              <c:showCatName val="1"/>
            </c:dLbl>
            <c:dLbl>
              <c:idx val="1"/>
              <c:tx>
                <c:rich>
                  <a:bodyPr/>
                  <a:lstStyle/>
                  <a:p>
                    <a:r>
                      <a:rPr lang="en-US"/>
                      <a:t>CPP-D &amp; QPP-D</a:t>
                    </a:r>
                  </a:p>
                  <a:p>
                    <a:r>
                      <a:rPr lang="en-US"/>
                      <a:t>$4 B</a:t>
                    </a:r>
                  </a:p>
                </c:rich>
              </c:tx>
              <c:showVal val="1"/>
              <c:showCatName val="1"/>
            </c:dLbl>
            <c:dLbl>
              <c:idx val="2"/>
              <c:layout>
                <c:manualLayout>
                  <c:x val="1.1259873680503381E-2"/>
                  <c:y val="4.9964431292718716E-3"/>
                </c:manualLayout>
              </c:layout>
              <c:tx>
                <c:rich>
                  <a:bodyPr/>
                  <a:lstStyle/>
                  <a:p>
                    <a:r>
                      <a:rPr lang="en-US"/>
                      <a:t>EI Sickness</a:t>
                    </a:r>
                  </a:p>
                  <a:p>
                    <a:r>
                      <a:rPr lang="en-US"/>
                      <a:t> $1</a:t>
                    </a:r>
                    <a:r>
                      <a:rPr lang="en-US" baseline="0"/>
                      <a:t> B</a:t>
                    </a:r>
                    <a:endParaRPr lang="en-US"/>
                  </a:p>
                </c:rich>
              </c:tx>
              <c:showVal val="1"/>
              <c:showCatName val="1"/>
            </c:dLbl>
            <c:dLbl>
              <c:idx val="3"/>
              <c:layout>
                <c:manualLayout>
                  <c:x val="-0.15126094773964721"/>
                  <c:y val="-5.7807799466770962E-2"/>
                </c:manualLayout>
              </c:layout>
              <c:tx>
                <c:rich>
                  <a:bodyPr/>
                  <a:lstStyle/>
                  <a:p>
                    <a:r>
                      <a:rPr lang="en-US"/>
                      <a:t>Veterans' Disability Pensions &amp; Awards</a:t>
                    </a:r>
                  </a:p>
                  <a:p>
                    <a:r>
                      <a:rPr lang="en-US"/>
                      <a:t> $2 B</a:t>
                    </a:r>
                  </a:p>
                </c:rich>
              </c:tx>
              <c:showVal val="1"/>
              <c:showCatName val="1"/>
            </c:dLbl>
            <c:dLbl>
              <c:idx val="4"/>
              <c:layout>
                <c:manualLayout>
                  <c:x val="-6.9614129271084874E-2"/>
                  <c:y val="-0.17516786810913831"/>
                </c:manualLayout>
              </c:layout>
              <c:tx>
                <c:rich>
                  <a:bodyPr/>
                  <a:lstStyle/>
                  <a:p>
                    <a:r>
                      <a:rPr lang="en-US"/>
                      <a:t>Social Assistance - Disabled component </a:t>
                    </a:r>
                  </a:p>
                  <a:p>
                    <a:r>
                      <a:rPr lang="en-US"/>
                      <a:t>$6.7 B</a:t>
                    </a:r>
                  </a:p>
                </c:rich>
              </c:tx>
              <c:showVal val="1"/>
              <c:showCatName val="1"/>
            </c:dLbl>
            <c:dLbl>
              <c:idx val="5"/>
              <c:layout>
                <c:manualLayout>
                  <c:x val="0.20834431017168828"/>
                  <c:y val="-8.1355839124691645E-2"/>
                </c:manualLayout>
              </c:layout>
              <c:tx>
                <c:rich>
                  <a:bodyPr/>
                  <a:lstStyle/>
                  <a:p>
                    <a:r>
                      <a:rPr lang="en-US"/>
                      <a:t>Workers' Compensation $5.4 B</a:t>
                    </a:r>
                  </a:p>
                </c:rich>
              </c:tx>
              <c:showVal val="1"/>
              <c:showCatName val="1"/>
            </c:dLbl>
            <c:dLbl>
              <c:idx val="6"/>
              <c:layout>
                <c:manualLayout>
                  <c:x val="0.12329870529776216"/>
                  <c:y val="0.16952290316836091"/>
                </c:manualLayout>
              </c:layout>
              <c:tx>
                <c:rich>
                  <a:bodyPr/>
                  <a:lstStyle/>
                  <a:p>
                    <a:r>
                      <a:rPr lang="en-US"/>
                      <a:t>Private Disability Insurance</a:t>
                    </a:r>
                  </a:p>
                  <a:p>
                    <a:r>
                      <a:rPr lang="en-US"/>
                      <a:t>$5.3 B</a:t>
                    </a:r>
                  </a:p>
                </c:rich>
              </c:tx>
              <c:showVal val="1"/>
              <c:showCatName val="1"/>
            </c:dLbl>
            <c:txPr>
              <a:bodyPr/>
              <a:lstStyle/>
              <a:p>
                <a:pPr>
                  <a:defRPr lang="en-US" sz="1200" b="1"/>
                </a:pPr>
                <a:endParaRPr lang="en-US"/>
              </a:p>
            </c:txPr>
            <c:showVal val="1"/>
            <c:showCatName val="1"/>
            <c:showLeaderLines val="1"/>
          </c:dLbls>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2013-14'!$C$43:$C$49</c:f>
              <c:numCache>
                <c:formatCode>#,##0.0</c:formatCode>
                <c:ptCount val="7"/>
                <c:pt idx="0">
                  <c:v>2005.9</c:v>
                </c:pt>
                <c:pt idx="1">
                  <c:v>4048</c:v>
                </c:pt>
                <c:pt idx="2">
                  <c:v>1008.8</c:v>
                </c:pt>
                <c:pt idx="3">
                  <c:v>1973.9</c:v>
                </c:pt>
                <c:pt idx="4">
                  <c:v>6682.6462500000016</c:v>
                </c:pt>
                <c:pt idx="5">
                  <c:v>5368.4000000000005</c:v>
                </c:pt>
                <c:pt idx="6">
                  <c:v>5330</c:v>
                </c:pt>
              </c:numCache>
            </c:numRef>
          </c:val>
        </c:ser>
        <c:dLbls>
          <c:showCatName val="1"/>
          <c:showPercent val="1"/>
        </c:dLbls>
        <c:firstSliceAng val="0"/>
      </c:pieChart>
    </c:plotArea>
    <c:plotVisOnly val="1"/>
    <c:dispBlanksAs val="zero"/>
  </c:chart>
  <c:userShapes r:id="rId1"/>
</c:chartSpace>
</file>

<file path=xl/charts/chart6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a:p>
          <a:p>
            <a:pPr>
              <a:defRPr/>
            </a:pPr>
            <a:r>
              <a:rPr lang="en-US" sz="1800" b="1" i="0" baseline="0"/>
              <a:t>ALBERTA 2013</a:t>
            </a:r>
          </a:p>
          <a:p>
            <a:pPr>
              <a:defRPr/>
            </a:pPr>
            <a:r>
              <a:rPr lang="en-US" sz="1800" b="1" i="0" baseline="0"/>
              <a:t>$3.2 B</a:t>
            </a:r>
            <a:endParaRPr lang="en-CA" sz="1800" b="1" i="0" baseline="0"/>
          </a:p>
        </c:rich>
      </c:tx>
    </c:title>
    <c:plotArea>
      <c:layout/>
      <c:pieChart>
        <c:varyColors val="1"/>
        <c:ser>
          <c:idx val="8"/>
          <c:order val="0"/>
          <c:dLbls>
            <c:dLbl>
              <c:idx val="0"/>
              <c:layout>
                <c:manualLayout>
                  <c:x val="0.13326819438716356"/>
                  <c:y val="3.1326318371569725E-2"/>
                </c:manualLayout>
              </c:layout>
              <c:tx>
                <c:rich>
                  <a:bodyPr/>
                  <a:lstStyle/>
                  <a:p>
                    <a:r>
                      <a:rPr lang="en-US"/>
                      <a:t>Disability Tax Measures $288 M</a:t>
                    </a:r>
                  </a:p>
                </c:rich>
              </c:tx>
              <c:showVal val="1"/>
              <c:showCatName val="1"/>
            </c:dLbl>
            <c:dLbl>
              <c:idx val="1"/>
              <c:layout>
                <c:manualLayout>
                  <c:x val="-0.11160563119731104"/>
                  <c:y val="9.5254383450824889E-2"/>
                </c:manualLayout>
              </c:layout>
              <c:tx>
                <c:rich>
                  <a:bodyPr/>
                  <a:lstStyle/>
                  <a:p>
                    <a:r>
                      <a:rPr lang="en-US"/>
                      <a:t>CPP-D</a:t>
                    </a:r>
                  </a:p>
                  <a:p>
                    <a:r>
                      <a:rPr lang="en-US"/>
                      <a:t>$412 M</a:t>
                    </a:r>
                  </a:p>
                </c:rich>
              </c:tx>
              <c:showVal val="1"/>
              <c:showCatName val="1"/>
            </c:dLbl>
            <c:dLbl>
              <c:idx val="2"/>
              <c:layout>
                <c:manualLayout>
                  <c:x val="4.0424205853832308E-2"/>
                  <c:y val="-4.6354225912865433E-3"/>
                </c:manualLayout>
              </c:layout>
              <c:tx>
                <c:rich>
                  <a:bodyPr/>
                  <a:lstStyle/>
                  <a:p>
                    <a:r>
                      <a:rPr lang="en-US"/>
                      <a:t>EI Sickness</a:t>
                    </a:r>
                  </a:p>
                  <a:p>
                    <a:r>
                      <a:rPr lang="en-US"/>
                      <a:t>$108 M</a:t>
                    </a:r>
                  </a:p>
                </c:rich>
              </c:tx>
              <c:showVal val="1"/>
              <c:showCatName val="1"/>
            </c:dLbl>
            <c:dLbl>
              <c:idx val="3"/>
              <c:layout>
                <c:manualLayout>
                  <c:x val="2.9314774730886634E-2"/>
                  <c:y val="-9.3769720047610985E-3"/>
                </c:manualLayout>
              </c:layout>
              <c:tx>
                <c:rich>
                  <a:bodyPr/>
                  <a:lstStyle/>
                  <a:p>
                    <a:r>
                      <a:rPr lang="en-US"/>
                      <a:t>Veterans' Disability Pensions &amp; Awards $196 M</a:t>
                    </a:r>
                  </a:p>
                </c:rich>
              </c:tx>
              <c:showVal val="1"/>
              <c:showCatName val="1"/>
            </c:dLbl>
            <c:dLbl>
              <c:idx val="4"/>
              <c:layout>
                <c:manualLayout>
                  <c:x val="6.0241184790701889E-2"/>
                  <c:y val="-9.8515241273293211E-3"/>
                </c:manualLayout>
              </c:layout>
              <c:tx>
                <c:rich>
                  <a:bodyPr/>
                  <a:lstStyle/>
                  <a:p>
                    <a:r>
                      <a:rPr lang="en-US"/>
                      <a:t>Income Asst. - NETW/BFE</a:t>
                    </a:r>
                  </a:p>
                  <a:p>
                    <a:r>
                      <a:rPr lang="en-US"/>
                      <a:t>$204 M</a:t>
                    </a:r>
                  </a:p>
                </c:rich>
              </c:tx>
              <c:showVal val="1"/>
              <c:showCatName val="1"/>
            </c:dLbl>
            <c:dLbl>
              <c:idx val="5"/>
              <c:layout>
                <c:manualLayout>
                  <c:x val="3.7012830342569983E-2"/>
                  <c:y val="3.9311090761310612E-2"/>
                </c:manualLayout>
              </c:layout>
              <c:tx>
                <c:rich>
                  <a:bodyPr/>
                  <a:lstStyle/>
                  <a:p>
                    <a:r>
                      <a:rPr lang="en-US"/>
                      <a:t>First Nations SA for Disabled - $92 M</a:t>
                    </a:r>
                  </a:p>
                </c:rich>
              </c:tx>
              <c:showVal val="1"/>
              <c:showCatName val="1"/>
            </c:dLbl>
            <c:dLbl>
              <c:idx val="6"/>
              <c:layout>
                <c:manualLayout>
                  <c:x val="4.656465870790534E-2"/>
                  <c:y val="-0.20820160156178019"/>
                </c:manualLayout>
              </c:layout>
              <c:tx>
                <c:rich>
                  <a:bodyPr/>
                  <a:lstStyle/>
                  <a:p>
                    <a:r>
                      <a:rPr lang="en-US"/>
                      <a:t>AISH</a:t>
                    </a:r>
                  </a:p>
                  <a:p>
                    <a:r>
                      <a:rPr lang="en-US"/>
                      <a:t>$858 M</a:t>
                    </a:r>
                  </a:p>
                </c:rich>
              </c:tx>
              <c:showVal val="1"/>
              <c:showCatName val="1"/>
            </c:dLbl>
            <c:dLbl>
              <c:idx val="7"/>
              <c:layout>
                <c:manualLayout>
                  <c:x val="0.16614958014904463"/>
                  <c:y val="-2.932627261629309E-2"/>
                </c:manualLayout>
              </c:layout>
              <c:tx>
                <c:rich>
                  <a:bodyPr/>
                  <a:lstStyle/>
                  <a:p>
                    <a:r>
                      <a:rPr lang="en-US"/>
                      <a:t>Workers' Compensation</a:t>
                    </a:r>
                  </a:p>
                  <a:p>
                    <a:r>
                      <a:rPr lang="en-US"/>
                      <a:t>$361</a:t>
                    </a:r>
                    <a:r>
                      <a:rPr lang="en-US" baseline="0"/>
                      <a:t> M</a:t>
                    </a:r>
                    <a:endParaRPr lang="en-US"/>
                  </a:p>
                </c:rich>
              </c:tx>
              <c:showVal val="1"/>
              <c:showCatName val="1"/>
            </c:dLbl>
            <c:dLbl>
              <c:idx val="8"/>
              <c:layout>
                <c:manualLayout>
                  <c:x val="0.14554794678535624"/>
                  <c:y val="0.20040827052044732"/>
                </c:manualLayout>
              </c:layout>
              <c:tx>
                <c:rich>
                  <a:bodyPr/>
                  <a:lstStyle/>
                  <a:p>
                    <a:r>
                      <a:rPr lang="en-US"/>
                      <a:t>Private Disability Insurance</a:t>
                    </a:r>
                  </a:p>
                  <a:p>
                    <a:r>
                      <a:rPr lang="en-US"/>
                      <a:t>$700 M</a:t>
                    </a:r>
                  </a:p>
                </c:rich>
              </c:tx>
              <c:showVal val="1"/>
              <c:showCatName val="1"/>
            </c:dLbl>
            <c:txPr>
              <a:bodyPr/>
              <a:lstStyle/>
              <a:p>
                <a:pPr>
                  <a:defRPr sz="1400" b="1"/>
                </a:pPr>
                <a:endParaRPr lang="en-US"/>
              </a:p>
            </c:txPr>
            <c:showVal val="1"/>
            <c:showCatName val="1"/>
            <c:showLeaderLines val="1"/>
          </c:dLbls>
          <c:cat>
            <c:strRef>
              <c:f>(Alberta!$A$261:$A$266,Alberta!$A$268,Alberta!$A$270:$A$271)</c:f>
              <c:strCache>
                <c:ptCount val="9"/>
                <c:pt idx="0">
                  <c:v>Disability Tax Measures</c:v>
                </c:pt>
                <c:pt idx="1">
                  <c:v>CPP-D</c:v>
                </c:pt>
                <c:pt idx="2">
                  <c:v>EI Sickness</c:v>
                </c:pt>
                <c:pt idx="3">
                  <c:v>Veterans' Disability Pensions &amp; Awards</c:v>
                </c:pt>
                <c:pt idx="4">
                  <c:v>Income Asst. - NETW/BFE</c:v>
                </c:pt>
                <c:pt idx="5">
                  <c:v>First Nations SA for Disabled </c:v>
                </c:pt>
                <c:pt idx="6">
                  <c:v>AISH</c:v>
                </c:pt>
                <c:pt idx="7">
                  <c:v>Workers' Compensation </c:v>
                </c:pt>
                <c:pt idx="8">
                  <c:v>Private Disability Insurance</c:v>
                </c:pt>
              </c:strCache>
            </c:strRef>
          </c:cat>
          <c:val>
            <c:numRef>
              <c:f>(Alberta!$L$261:$L$266,Alberta!$L$268,Alberta!$L$270:$L$271)</c:f>
              <c:numCache>
                <c:formatCode>#,##0.0</c:formatCode>
                <c:ptCount val="9"/>
                <c:pt idx="0">
                  <c:v>287.46524999999997</c:v>
                </c:pt>
                <c:pt idx="1">
                  <c:v>412.1</c:v>
                </c:pt>
                <c:pt idx="2">
                  <c:v>107.5</c:v>
                </c:pt>
                <c:pt idx="3">
                  <c:v>196.4</c:v>
                </c:pt>
                <c:pt idx="4">
                  <c:v>203.9</c:v>
                </c:pt>
                <c:pt idx="5">
                  <c:v>92.039999999999992</c:v>
                </c:pt>
                <c:pt idx="6">
                  <c:v>858</c:v>
                </c:pt>
                <c:pt idx="7">
                  <c:v>361.3</c:v>
                </c:pt>
                <c:pt idx="8">
                  <c:v>700</c:v>
                </c:pt>
              </c:numCache>
            </c:numRef>
          </c:val>
        </c:ser>
        <c:dLbls>
          <c:showCatName val="1"/>
          <c:showPercent val="1"/>
        </c:dLbls>
        <c:firstSliceAng val="0"/>
      </c:pieChart>
    </c:plotArea>
    <c:plotVisOnly val="1"/>
    <c:dispBlanksAs val="zero"/>
  </c:chart>
</c:chartSpace>
</file>

<file path=xl/charts/chart6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a:p>
          <a:p>
            <a:pPr>
              <a:defRPr/>
            </a:pPr>
            <a:r>
              <a:rPr lang="en-US" sz="1800" b="1" i="0" baseline="0"/>
              <a:t>ALBERTA 2005</a:t>
            </a:r>
            <a:endParaRPr lang="en-CA"/>
          </a:p>
          <a:p>
            <a:pPr>
              <a:defRPr/>
            </a:pPr>
            <a:r>
              <a:rPr lang="en-US" sz="1800" b="1" i="0" baseline="0"/>
              <a:t>$1.9 B</a:t>
            </a:r>
            <a:endParaRPr lang="en-CA"/>
          </a:p>
        </c:rich>
      </c:tx>
    </c:title>
    <c:plotArea>
      <c:layout>
        <c:manualLayout>
          <c:layoutTarget val="inner"/>
          <c:xMode val="edge"/>
          <c:yMode val="edge"/>
          <c:x val="0.26060964425462502"/>
          <c:y val="0.23166976891678823"/>
          <c:w val="0.50514537702625029"/>
          <c:h val="0.69585546162307998"/>
        </c:manualLayout>
      </c:layout>
      <c:pieChart>
        <c:varyColors val="1"/>
        <c:ser>
          <c:idx val="0"/>
          <c:order val="0"/>
          <c:dLbls>
            <c:dLbl>
              <c:idx val="0"/>
              <c:layout>
                <c:manualLayout>
                  <c:x val="0.10696747988858109"/>
                  <c:y val="4.1011979621108183E-2"/>
                </c:manualLayout>
              </c:layout>
              <c:tx>
                <c:rich>
                  <a:bodyPr/>
                  <a:lstStyle/>
                  <a:p>
                    <a:r>
                      <a:rPr lang="en-US"/>
                      <a:t>Disability Tax Measures </a:t>
                    </a:r>
                  </a:p>
                  <a:p>
                    <a:r>
                      <a:rPr lang="en-US"/>
                      <a:t>$176</a:t>
                    </a:r>
                    <a:r>
                      <a:rPr lang="en-US" baseline="0"/>
                      <a:t> M</a:t>
                    </a:r>
                    <a:endParaRPr lang="en-US"/>
                  </a:p>
                </c:rich>
              </c:tx>
              <c:showVal val="1"/>
              <c:showCatName val="1"/>
            </c:dLbl>
            <c:dLbl>
              <c:idx val="1"/>
              <c:layout>
                <c:manualLayout>
                  <c:x val="-0.13936562877997338"/>
                  <c:y val="9.7928842918957953E-2"/>
                </c:manualLayout>
              </c:layout>
              <c:tx>
                <c:rich>
                  <a:bodyPr/>
                  <a:lstStyle/>
                  <a:p>
                    <a:r>
                      <a:rPr lang="en-US"/>
                      <a:t>CPP-D</a:t>
                    </a:r>
                  </a:p>
                  <a:p>
                    <a:r>
                      <a:rPr lang="en-US"/>
                      <a:t>$306 M</a:t>
                    </a:r>
                  </a:p>
                </c:rich>
              </c:tx>
              <c:showVal val="1"/>
              <c:showCatName val="1"/>
            </c:dLbl>
            <c:dLbl>
              <c:idx val="2"/>
              <c:layout>
                <c:manualLayout>
                  <c:x val="5.5696682250190803E-2"/>
                  <c:y val="-1.1001919815148685E-2"/>
                </c:manualLayout>
              </c:layout>
              <c:tx>
                <c:rich>
                  <a:bodyPr/>
                  <a:lstStyle/>
                  <a:p>
                    <a:r>
                      <a:rPr lang="en-US"/>
                      <a:t>EI Sickness</a:t>
                    </a:r>
                  </a:p>
                  <a:p>
                    <a:r>
                      <a:rPr lang="en-US"/>
                      <a:t>$70</a:t>
                    </a:r>
                    <a:r>
                      <a:rPr lang="en-US" baseline="0"/>
                      <a:t> M</a:t>
                    </a:r>
                    <a:endParaRPr lang="en-US"/>
                  </a:p>
                </c:rich>
              </c:tx>
              <c:showVal val="1"/>
              <c:showCatName val="1"/>
            </c:dLbl>
            <c:dLbl>
              <c:idx val="3"/>
              <c:layout>
                <c:manualLayout>
                  <c:x val="2.4137278022433286E-2"/>
                  <c:y val="-4.0779231425740824E-2"/>
                </c:manualLayout>
              </c:layout>
              <c:tx>
                <c:rich>
                  <a:bodyPr/>
                  <a:lstStyle/>
                  <a:p>
                    <a:r>
                      <a:rPr lang="en-US"/>
                      <a:t>Veterans' Disability Pensions &amp; Awards $161 M</a:t>
                    </a:r>
                  </a:p>
                </c:rich>
              </c:tx>
              <c:showVal val="1"/>
              <c:showCatName val="1"/>
            </c:dLbl>
            <c:dLbl>
              <c:idx val="4"/>
              <c:layout>
                <c:manualLayout>
                  <c:x val="0.17596188356736323"/>
                  <c:y val="-5.3728451330048742E-2"/>
                </c:manualLayout>
              </c:layout>
              <c:tx>
                <c:rich>
                  <a:bodyPr/>
                  <a:lstStyle/>
                  <a:p>
                    <a:r>
                      <a:rPr lang="en-US"/>
                      <a:t>Income Asst. - NETW/BFE</a:t>
                    </a:r>
                  </a:p>
                  <a:p>
                    <a:r>
                      <a:rPr lang="en-US"/>
                      <a:t>$112 M</a:t>
                    </a:r>
                  </a:p>
                </c:rich>
              </c:tx>
              <c:showVal val="1"/>
              <c:showCatName val="1"/>
            </c:dLbl>
            <c:dLbl>
              <c:idx val="5"/>
              <c:layout>
                <c:manualLayout>
                  <c:x val="5.9367898493961763E-2"/>
                  <c:y val="-1.0417269058184818E-2"/>
                </c:manualLayout>
              </c:layout>
              <c:tx>
                <c:rich>
                  <a:bodyPr/>
                  <a:lstStyle/>
                  <a:p>
                    <a:r>
                      <a:rPr lang="en-US"/>
                      <a:t>First Nations SA for Disabled -</a:t>
                    </a:r>
                    <a:r>
                      <a:rPr lang="en-US" baseline="0"/>
                      <a:t> $59 M</a:t>
                    </a:r>
                    <a:endParaRPr lang="en-US"/>
                  </a:p>
                </c:rich>
              </c:tx>
              <c:showVal val="1"/>
              <c:showCatName val="1"/>
            </c:dLbl>
            <c:dLbl>
              <c:idx val="6"/>
              <c:layout>
                <c:manualLayout>
                  <c:x val="6.1543041066138171E-2"/>
                  <c:y val="-0.16187962676404058"/>
                </c:manualLayout>
              </c:layout>
              <c:tx>
                <c:rich>
                  <a:bodyPr/>
                  <a:lstStyle/>
                  <a:p>
                    <a:r>
                      <a:rPr lang="en-US"/>
                      <a:t>AISH</a:t>
                    </a:r>
                  </a:p>
                  <a:p>
                    <a:r>
                      <a:rPr lang="en-US"/>
                      <a:t>$340 M</a:t>
                    </a:r>
                  </a:p>
                </c:rich>
              </c:tx>
              <c:showVal val="1"/>
              <c:showCatName val="1"/>
            </c:dLbl>
            <c:dLbl>
              <c:idx val="7"/>
              <c:layout>
                <c:manualLayout>
                  <c:x val="0.17746701072209214"/>
                  <c:y val="-4.1136217906963028E-2"/>
                </c:manualLayout>
              </c:layout>
              <c:tx>
                <c:rich>
                  <a:bodyPr/>
                  <a:lstStyle/>
                  <a:p>
                    <a:r>
                      <a:rPr lang="en-US"/>
                      <a:t>Workers' Compensation</a:t>
                    </a:r>
                  </a:p>
                  <a:p>
                    <a:r>
                      <a:rPr lang="en-US"/>
                      <a:t>$295 M</a:t>
                    </a:r>
                  </a:p>
                </c:rich>
              </c:tx>
              <c:showVal val="1"/>
              <c:showCatName val="1"/>
            </c:dLbl>
            <c:dLbl>
              <c:idx val="8"/>
              <c:layout>
                <c:manualLayout>
                  <c:x val="0.14002636005229582"/>
                  <c:y val="0.19391260996359277"/>
                </c:manualLayout>
              </c:layout>
              <c:tx>
                <c:rich>
                  <a:bodyPr/>
                  <a:lstStyle/>
                  <a:p>
                    <a:r>
                      <a:rPr lang="en-US"/>
                      <a:t>Private Disability Insurance</a:t>
                    </a:r>
                  </a:p>
                  <a:p>
                    <a:r>
                      <a:rPr lang="en-US"/>
                      <a:t>$385 M</a:t>
                    </a:r>
                  </a:p>
                </c:rich>
              </c:tx>
              <c:showVal val="1"/>
              <c:showCatName val="1"/>
            </c:dLbl>
            <c:txPr>
              <a:bodyPr/>
              <a:lstStyle/>
              <a:p>
                <a:pPr>
                  <a:defRPr sz="1400" b="1"/>
                </a:pPr>
                <a:endParaRPr lang="en-US"/>
              </a:p>
            </c:txPr>
            <c:showVal val="1"/>
            <c:showCatName val="1"/>
            <c:showLeaderLines val="1"/>
          </c:dLbls>
          <c:cat>
            <c:strRef>
              <c:f>(Alberta!$A$261:$A$266,Alberta!$A$268,Alberta!$A$270:$A$271)</c:f>
              <c:strCache>
                <c:ptCount val="9"/>
                <c:pt idx="0">
                  <c:v>Disability Tax Measures</c:v>
                </c:pt>
                <c:pt idx="1">
                  <c:v>CPP-D</c:v>
                </c:pt>
                <c:pt idx="2">
                  <c:v>EI Sickness</c:v>
                </c:pt>
                <c:pt idx="3">
                  <c:v>Veterans' Disability Pensions &amp; Awards</c:v>
                </c:pt>
                <c:pt idx="4">
                  <c:v>Income Asst. - NETW/BFE</c:v>
                </c:pt>
                <c:pt idx="5">
                  <c:v>First Nations SA for Disabled </c:v>
                </c:pt>
                <c:pt idx="6">
                  <c:v>AISH</c:v>
                </c:pt>
                <c:pt idx="7">
                  <c:v>Workers' Compensation </c:v>
                </c:pt>
                <c:pt idx="8">
                  <c:v>Private Disability Insurance</c:v>
                </c:pt>
              </c:strCache>
            </c:strRef>
          </c:cat>
          <c:val>
            <c:numRef>
              <c:f>(Alberta!$B$261:$B$266,Alberta!$B$268,Alberta!$B$270:$B$271)</c:f>
              <c:numCache>
                <c:formatCode>#,##0.0</c:formatCode>
                <c:ptCount val="9"/>
                <c:pt idx="0">
                  <c:v>176.13</c:v>
                </c:pt>
                <c:pt idx="1">
                  <c:v>306.39999999999998</c:v>
                </c:pt>
                <c:pt idx="2">
                  <c:v>69.8</c:v>
                </c:pt>
                <c:pt idx="3">
                  <c:v>160.6</c:v>
                </c:pt>
                <c:pt idx="4">
                  <c:v>112</c:v>
                </c:pt>
                <c:pt idx="5">
                  <c:v>59.18</c:v>
                </c:pt>
                <c:pt idx="6">
                  <c:v>340.1</c:v>
                </c:pt>
                <c:pt idx="7">
                  <c:v>294.60000000000002</c:v>
                </c:pt>
                <c:pt idx="8">
                  <c:v>385</c:v>
                </c:pt>
              </c:numCache>
            </c:numRef>
          </c:val>
        </c:ser>
        <c:dLbls>
          <c:showCatName val="1"/>
          <c:showPercent val="1"/>
        </c:dLbls>
        <c:firstSliceAng val="0"/>
      </c:pieChart>
    </c:plotArea>
    <c:plotVisOnly val="1"/>
    <c:dispBlanksAs val="zero"/>
  </c:chart>
</c:chartSpace>
</file>

<file path=xl/charts/chart6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DISABILITY BENEFIT EXPENDITURES</a:t>
            </a:r>
          </a:p>
          <a:p>
            <a:pPr>
              <a:defRPr/>
            </a:pPr>
            <a:r>
              <a:rPr lang="en-US" sz="1800" b="1" i="0" baseline="0"/>
              <a:t>ALBERTA 2011-12</a:t>
            </a:r>
          </a:p>
          <a:p>
            <a:pPr>
              <a:defRPr/>
            </a:pPr>
            <a:r>
              <a:rPr lang="en-US" sz="1800" b="1" i="0" baseline="0"/>
              <a:t>$2.7 B</a:t>
            </a:r>
            <a:endParaRPr lang="en-CA"/>
          </a:p>
        </c:rich>
      </c:tx>
    </c:title>
    <c:plotArea>
      <c:layout/>
      <c:pieChart>
        <c:varyColors val="1"/>
        <c:ser>
          <c:idx val="6"/>
          <c:order val="0"/>
          <c:dLbls>
            <c:dLbl>
              <c:idx val="0"/>
              <c:tx>
                <c:rich>
                  <a:bodyPr/>
                  <a:lstStyle/>
                  <a:p>
                    <a:r>
                      <a:rPr lang="en-US"/>
                      <a:t>Disability Tax Measures</a:t>
                    </a:r>
                  </a:p>
                  <a:p>
                    <a:r>
                      <a:rPr lang="en-US"/>
                      <a:t>$254 M</a:t>
                    </a:r>
                  </a:p>
                </c:rich>
              </c:tx>
              <c:showVal val="1"/>
              <c:showCatName val="1"/>
            </c:dLbl>
            <c:dLbl>
              <c:idx val="1"/>
              <c:layout>
                <c:manualLayout>
                  <c:x val="-0.11293758886253191"/>
                  <c:y val="8.7316796190110638E-2"/>
                </c:manualLayout>
              </c:layout>
              <c:tx>
                <c:rich>
                  <a:bodyPr/>
                  <a:lstStyle/>
                  <a:p>
                    <a:r>
                      <a:rPr lang="en-US"/>
                      <a:t>CPP-D</a:t>
                    </a:r>
                  </a:p>
                  <a:p>
                    <a:r>
                      <a:rPr lang="en-US"/>
                      <a:t>$383</a:t>
                    </a:r>
                    <a:r>
                      <a:rPr lang="en-US" baseline="0"/>
                      <a:t> M</a:t>
                    </a:r>
                    <a:endParaRPr lang="en-US"/>
                  </a:p>
                </c:rich>
              </c:tx>
              <c:showVal val="1"/>
              <c:showCatName val="1"/>
            </c:dLbl>
            <c:dLbl>
              <c:idx val="2"/>
              <c:layout>
                <c:manualLayout>
                  <c:x val="3.8405567442336815E-2"/>
                  <c:y val="-7.5675732354509384E-3"/>
                </c:manualLayout>
              </c:layout>
              <c:tx>
                <c:rich>
                  <a:bodyPr/>
                  <a:lstStyle/>
                  <a:p>
                    <a:r>
                      <a:rPr lang="en-US"/>
                      <a:t>EI Sickness</a:t>
                    </a:r>
                  </a:p>
                  <a:p>
                    <a:r>
                      <a:rPr lang="en-US"/>
                      <a:t>$85</a:t>
                    </a:r>
                    <a:r>
                      <a:rPr lang="en-US" baseline="0"/>
                      <a:t> M</a:t>
                    </a:r>
                    <a:endParaRPr lang="en-US"/>
                  </a:p>
                </c:rich>
              </c:tx>
              <c:showVal val="1"/>
              <c:showCatName val="1"/>
            </c:dLbl>
            <c:dLbl>
              <c:idx val="3"/>
              <c:layout>
                <c:manualLayout>
                  <c:x val="-0.160727581730464"/>
                  <c:y val="-5.5638734129433112E-2"/>
                </c:manualLayout>
              </c:layout>
              <c:tx>
                <c:rich>
                  <a:bodyPr/>
                  <a:lstStyle/>
                  <a:p>
                    <a:r>
                      <a:rPr lang="en-US"/>
                      <a:t>Veterans' Disability Pensions &amp; Awards</a:t>
                    </a:r>
                  </a:p>
                  <a:p>
                    <a:r>
                      <a:rPr lang="en-US"/>
                      <a:t>$200</a:t>
                    </a:r>
                    <a:r>
                      <a:rPr lang="en-US" baseline="0"/>
                      <a:t> M</a:t>
                    </a:r>
                    <a:endParaRPr lang="en-US"/>
                  </a:p>
                </c:rich>
              </c:tx>
              <c:showVal val="1"/>
              <c:showCatName val="1"/>
            </c:dLbl>
            <c:dLbl>
              <c:idx val="4"/>
              <c:layout>
                <c:manualLayout>
                  <c:x val="3.5933159229662795E-2"/>
                  <c:y val="-3.5399491226743449E-2"/>
                </c:manualLayout>
              </c:layout>
              <c:tx>
                <c:rich>
                  <a:bodyPr/>
                  <a:lstStyle/>
                  <a:p>
                    <a:r>
                      <a:rPr lang="en-US"/>
                      <a:t>Income Asst. - NETW/BFE $177</a:t>
                    </a:r>
                    <a:r>
                      <a:rPr lang="en-US" baseline="0"/>
                      <a:t> M</a:t>
                    </a:r>
                    <a:endParaRPr lang="en-US"/>
                  </a:p>
                </c:rich>
              </c:tx>
              <c:showVal val="1"/>
              <c:showCatName val="1"/>
            </c:dLbl>
            <c:dLbl>
              <c:idx val="5"/>
              <c:layout>
                <c:manualLayout>
                  <c:x val="6.1299404338475284E-2"/>
                  <c:y val="-8.5106403260317726E-3"/>
                </c:manualLayout>
              </c:layout>
              <c:tx>
                <c:rich>
                  <a:bodyPr/>
                  <a:lstStyle/>
                  <a:p>
                    <a:r>
                      <a:rPr lang="en-US"/>
                      <a:t>First Nations SA for Disabled</a:t>
                    </a:r>
                  </a:p>
                  <a:p>
                    <a:r>
                      <a:rPr lang="en-US"/>
                      <a:t>$82 M</a:t>
                    </a:r>
                  </a:p>
                </c:rich>
              </c:tx>
              <c:showVal val="1"/>
              <c:showCatName val="1"/>
            </c:dLbl>
            <c:dLbl>
              <c:idx val="6"/>
              <c:layout>
                <c:manualLayout>
                  <c:x val="5.9583682786249433E-2"/>
                  <c:y val="-0.18320476312429831"/>
                </c:manualLayout>
              </c:layout>
              <c:tx>
                <c:rich>
                  <a:bodyPr/>
                  <a:lstStyle/>
                  <a:p>
                    <a:r>
                      <a:rPr lang="en-US"/>
                      <a:t>AISH</a:t>
                    </a:r>
                  </a:p>
                  <a:p>
                    <a:r>
                      <a:rPr lang="en-US"/>
                      <a:t>$580</a:t>
                    </a:r>
                    <a:r>
                      <a:rPr lang="en-US" baseline="0"/>
                      <a:t> M</a:t>
                    </a:r>
                    <a:endParaRPr lang="en-US"/>
                  </a:p>
                </c:rich>
              </c:tx>
              <c:showVal val="1"/>
              <c:showCatName val="1"/>
            </c:dLbl>
            <c:dLbl>
              <c:idx val="7"/>
              <c:layout>
                <c:manualLayout>
                  <c:x val="0.21816091810853477"/>
                  <c:y val="-5.6608968415513806E-2"/>
                </c:manualLayout>
              </c:layout>
              <c:tx>
                <c:rich>
                  <a:bodyPr/>
                  <a:lstStyle/>
                  <a:p>
                    <a:r>
                      <a:rPr lang="en-US"/>
                      <a:t>Workers' Compensation $352</a:t>
                    </a:r>
                    <a:r>
                      <a:rPr lang="en-US" baseline="0"/>
                      <a:t> M</a:t>
                    </a:r>
                    <a:endParaRPr lang="en-US"/>
                  </a:p>
                </c:rich>
              </c:tx>
              <c:showVal val="1"/>
              <c:showCatName val="1"/>
            </c:dLbl>
            <c:dLbl>
              <c:idx val="8"/>
              <c:layout>
                <c:manualLayout>
                  <c:x val="0.13078932763875012"/>
                  <c:y val="0.18015552345625188"/>
                </c:manualLayout>
              </c:layout>
              <c:tx>
                <c:rich>
                  <a:bodyPr/>
                  <a:lstStyle/>
                  <a:p>
                    <a:r>
                      <a:rPr lang="en-US"/>
                      <a:t>Private Disability Insurance</a:t>
                    </a:r>
                  </a:p>
                  <a:p>
                    <a:r>
                      <a:rPr lang="en-US"/>
                      <a:t>$610</a:t>
                    </a:r>
                    <a:r>
                      <a:rPr lang="en-US" baseline="0"/>
                      <a:t> M</a:t>
                    </a:r>
                    <a:endParaRPr lang="en-US"/>
                  </a:p>
                </c:rich>
              </c:tx>
              <c:showVal val="1"/>
              <c:showCatName val="1"/>
            </c:dLbl>
            <c:txPr>
              <a:bodyPr/>
              <a:lstStyle/>
              <a:p>
                <a:pPr>
                  <a:defRPr sz="1200" b="1"/>
                </a:pPr>
                <a:endParaRPr lang="en-US"/>
              </a:p>
            </c:txPr>
            <c:showVal val="1"/>
            <c:showCatName val="1"/>
            <c:showLeaderLines val="1"/>
          </c:dLbls>
          <c:cat>
            <c:strRef>
              <c:f>(Alberta!$A$261:$A$266,Alberta!$A$268,Alberta!$A$270:$A$271)</c:f>
              <c:strCache>
                <c:ptCount val="9"/>
                <c:pt idx="0">
                  <c:v>Disability Tax Measures</c:v>
                </c:pt>
                <c:pt idx="1">
                  <c:v>CPP-D</c:v>
                </c:pt>
                <c:pt idx="2">
                  <c:v>EI Sickness</c:v>
                </c:pt>
                <c:pt idx="3">
                  <c:v>Veterans' Disability Pensions &amp; Awards</c:v>
                </c:pt>
                <c:pt idx="4">
                  <c:v>Income Asst. - NETW/BFE</c:v>
                </c:pt>
                <c:pt idx="5">
                  <c:v>First Nations SA for Disabled </c:v>
                </c:pt>
                <c:pt idx="6">
                  <c:v>AISH</c:v>
                </c:pt>
                <c:pt idx="7">
                  <c:v>Workers' Compensation </c:v>
                </c:pt>
                <c:pt idx="8">
                  <c:v>Private Disability Insurance</c:v>
                </c:pt>
              </c:strCache>
            </c:strRef>
          </c:cat>
          <c:val>
            <c:numRef>
              <c:f>(Alberta!$H$261:$H$266,Alberta!$H$268,Alberta!$H$270:$H$271)</c:f>
              <c:numCache>
                <c:formatCode>#,##0.0</c:formatCode>
                <c:ptCount val="9"/>
                <c:pt idx="0">
                  <c:v>253.9306</c:v>
                </c:pt>
                <c:pt idx="1">
                  <c:v>383</c:v>
                </c:pt>
                <c:pt idx="2">
                  <c:v>85.4</c:v>
                </c:pt>
                <c:pt idx="3">
                  <c:v>200.2</c:v>
                </c:pt>
                <c:pt idx="4">
                  <c:v>176.8</c:v>
                </c:pt>
                <c:pt idx="5">
                  <c:v>82.00500000000001</c:v>
                </c:pt>
                <c:pt idx="6">
                  <c:v>579.79999999999995</c:v>
                </c:pt>
                <c:pt idx="7">
                  <c:v>352.1</c:v>
                </c:pt>
                <c:pt idx="8">
                  <c:v>610</c:v>
                </c:pt>
              </c:numCache>
            </c:numRef>
          </c:val>
        </c:ser>
        <c:dLbls>
          <c:showCatName val="1"/>
          <c:showPercent val="1"/>
        </c:dLbls>
        <c:firstSliceAng val="0"/>
      </c:pieChart>
    </c:plotArea>
    <c:plotVisOnly val="1"/>
    <c:dispBlanksAs val="zero"/>
  </c:chart>
</c:chartSpace>
</file>

<file path=xl/charts/chart6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ALBERTA 2010-11</a:t>
            </a:r>
            <a:endParaRPr lang="en-US"/>
          </a:p>
          <a:p>
            <a:pPr>
              <a:defRPr lang="en-US"/>
            </a:pPr>
            <a:r>
              <a:rPr lang="en-US" sz="1800" b="1" i="0" baseline="0"/>
              <a:t>$2.6 B</a:t>
            </a:r>
            <a:endParaRPr lang="en-US"/>
          </a:p>
        </c:rich>
      </c:tx>
    </c:title>
    <c:plotArea>
      <c:layout>
        <c:manualLayout>
          <c:layoutTarget val="inner"/>
          <c:xMode val="edge"/>
          <c:yMode val="edge"/>
          <c:x val="0.23909593722147598"/>
          <c:y val="0.23432429455397241"/>
          <c:w val="0.50717234108706044"/>
          <c:h val="0.69850497152440083"/>
        </c:manualLayout>
      </c:layout>
      <c:pieChart>
        <c:varyColors val="1"/>
        <c:ser>
          <c:idx val="4"/>
          <c:order val="0"/>
          <c:dLbls>
            <c:dLbl>
              <c:idx val="0"/>
              <c:tx>
                <c:rich>
                  <a:bodyPr/>
                  <a:lstStyle/>
                  <a:p>
                    <a:r>
                      <a:rPr lang="en-US"/>
                      <a:t>Disability Tax Measures</a:t>
                    </a:r>
                  </a:p>
                  <a:p>
                    <a:r>
                      <a:rPr lang="en-US"/>
                      <a:t> $241</a:t>
                    </a:r>
                    <a:r>
                      <a:rPr lang="en-US" baseline="0"/>
                      <a:t> M</a:t>
                    </a:r>
                    <a:endParaRPr lang="en-US"/>
                  </a:p>
                </c:rich>
              </c:tx>
              <c:showVal val="1"/>
              <c:showCatName val="1"/>
            </c:dLbl>
            <c:dLbl>
              <c:idx val="1"/>
              <c:layout>
                <c:manualLayout>
                  <c:x val="-0.11257125149325445"/>
                  <c:y val="9.4704976539892835E-2"/>
                </c:manualLayout>
              </c:layout>
              <c:tx>
                <c:rich>
                  <a:bodyPr/>
                  <a:lstStyle/>
                  <a:p>
                    <a:r>
                      <a:rPr lang="en-US"/>
                      <a:t>CPP-D</a:t>
                    </a:r>
                  </a:p>
                  <a:p>
                    <a:r>
                      <a:rPr lang="en-US"/>
                      <a:t>$352 M</a:t>
                    </a:r>
                  </a:p>
                </c:rich>
              </c:tx>
              <c:showVal val="1"/>
              <c:showCatName val="1"/>
            </c:dLbl>
            <c:dLbl>
              <c:idx val="2"/>
              <c:layout>
                <c:manualLayout>
                  <c:x val="6.3066401977929709E-3"/>
                  <c:y val="1.8438271865549361E-3"/>
                </c:manualLayout>
              </c:layout>
              <c:tx>
                <c:rich>
                  <a:bodyPr/>
                  <a:lstStyle/>
                  <a:p>
                    <a:r>
                      <a:rPr lang="en-US"/>
                      <a:t>EI Sickness</a:t>
                    </a:r>
                  </a:p>
                  <a:p>
                    <a:r>
                      <a:rPr lang="en-US"/>
                      <a:t>$85</a:t>
                    </a:r>
                    <a:r>
                      <a:rPr lang="en-US" baseline="0"/>
                      <a:t> M</a:t>
                    </a:r>
                    <a:endParaRPr lang="en-US"/>
                  </a:p>
                </c:rich>
              </c:tx>
              <c:showVal val="1"/>
              <c:showCatName val="1"/>
            </c:dLbl>
            <c:dLbl>
              <c:idx val="3"/>
              <c:tx>
                <c:rich>
                  <a:bodyPr/>
                  <a:lstStyle/>
                  <a:p>
                    <a:r>
                      <a:rPr lang="en-US"/>
                      <a:t>Veterans' Disability Pensions &amp; Awards $208</a:t>
                    </a:r>
                    <a:r>
                      <a:rPr lang="en-US" baseline="0"/>
                      <a:t> </a:t>
                    </a:r>
                    <a:r>
                      <a:rPr lang="en-US"/>
                      <a:t>M</a:t>
                    </a:r>
                  </a:p>
                </c:rich>
              </c:tx>
              <c:showVal val="1"/>
              <c:showCatName val="1"/>
            </c:dLbl>
            <c:dLbl>
              <c:idx val="4"/>
              <c:layout>
                <c:manualLayout>
                  <c:x val="4.6653983088408693E-2"/>
                  <c:y val="-4.4637854691117293E-2"/>
                </c:manualLayout>
              </c:layout>
              <c:tx>
                <c:rich>
                  <a:bodyPr/>
                  <a:lstStyle/>
                  <a:p>
                    <a:r>
                      <a:rPr lang="en-US"/>
                      <a:t>Income Asst. - NETW/BFE $170</a:t>
                    </a:r>
                    <a:r>
                      <a:rPr lang="en-US" baseline="0"/>
                      <a:t> M</a:t>
                    </a:r>
                    <a:endParaRPr lang="en-US"/>
                  </a:p>
                </c:rich>
              </c:tx>
              <c:showVal val="1"/>
              <c:showCatName val="1"/>
            </c:dLbl>
            <c:dLbl>
              <c:idx val="5"/>
              <c:layout>
                <c:manualLayout>
                  <c:x val="4.0064883774584857E-2"/>
                  <c:y val="-7.3592782266499734E-3"/>
                </c:manualLayout>
              </c:layout>
              <c:tx>
                <c:rich>
                  <a:bodyPr/>
                  <a:lstStyle/>
                  <a:p>
                    <a:r>
                      <a:rPr lang="en-US"/>
                      <a:t>First Nations SA for Disabled</a:t>
                    </a:r>
                  </a:p>
                  <a:p>
                    <a:r>
                      <a:rPr lang="en-US"/>
                      <a:t>$79</a:t>
                    </a:r>
                    <a:r>
                      <a:rPr lang="en-US" baseline="0"/>
                      <a:t> M</a:t>
                    </a:r>
                    <a:endParaRPr lang="en-US"/>
                  </a:p>
                </c:rich>
              </c:tx>
              <c:showVal val="1"/>
              <c:showCatName val="1"/>
            </c:dLbl>
            <c:dLbl>
              <c:idx val="6"/>
              <c:layout>
                <c:manualLayout>
                  <c:x val="5.5187336888791932E-2"/>
                  <c:y val="-0.17697598374219969"/>
                </c:manualLayout>
              </c:layout>
              <c:tx>
                <c:rich>
                  <a:bodyPr/>
                  <a:lstStyle/>
                  <a:p>
                    <a:r>
                      <a:rPr lang="en-US"/>
                      <a:t>AISH</a:t>
                    </a:r>
                  </a:p>
                  <a:p>
                    <a:r>
                      <a:rPr lang="en-US"/>
                      <a:t> $539</a:t>
                    </a:r>
                    <a:r>
                      <a:rPr lang="en-US" baseline="0"/>
                      <a:t> M</a:t>
                    </a:r>
                    <a:endParaRPr lang="en-US"/>
                  </a:p>
                </c:rich>
              </c:tx>
              <c:showVal val="1"/>
              <c:showCatName val="1"/>
            </c:dLbl>
            <c:dLbl>
              <c:idx val="7"/>
              <c:layout>
                <c:manualLayout>
                  <c:x val="0.21794907254071302"/>
                  <c:y val="-5.1698425612516634E-2"/>
                </c:manualLayout>
              </c:layout>
              <c:tx>
                <c:rich>
                  <a:bodyPr/>
                  <a:lstStyle/>
                  <a:p>
                    <a:r>
                      <a:rPr lang="en-US"/>
                      <a:t>Workers' Compensation $315</a:t>
                    </a:r>
                    <a:r>
                      <a:rPr lang="en-US" baseline="0"/>
                      <a:t> M</a:t>
                    </a:r>
                    <a:endParaRPr lang="en-US"/>
                  </a:p>
                </c:rich>
              </c:tx>
              <c:showVal val="1"/>
              <c:showCatName val="1"/>
            </c:dLbl>
            <c:dLbl>
              <c:idx val="8"/>
              <c:layout>
                <c:manualLayout>
                  <c:x val="0.13780034761716844"/>
                  <c:y val="0.20084495122754101"/>
                </c:manualLayout>
              </c:layout>
              <c:tx>
                <c:rich>
                  <a:bodyPr/>
                  <a:lstStyle/>
                  <a:p>
                    <a:r>
                      <a:rPr lang="en-US"/>
                      <a:t>Private Disability Insurance</a:t>
                    </a:r>
                  </a:p>
                  <a:p>
                    <a:r>
                      <a:rPr lang="en-US"/>
                      <a:t>$580</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(Alberta!$A$261:$A$266,Alberta!$A$268,Alberta!$A$270:$A$271)</c:f>
              <c:strCache>
                <c:ptCount val="9"/>
                <c:pt idx="0">
                  <c:v>Disability Tax Measures</c:v>
                </c:pt>
                <c:pt idx="1">
                  <c:v>CPP-D</c:v>
                </c:pt>
                <c:pt idx="2">
                  <c:v>EI Sickness</c:v>
                </c:pt>
                <c:pt idx="3">
                  <c:v>Veterans' Disability Pensions &amp; Awards</c:v>
                </c:pt>
                <c:pt idx="4">
                  <c:v>Income Asst. - NETW/BFE</c:v>
                </c:pt>
                <c:pt idx="5">
                  <c:v>First Nations SA for Disabled </c:v>
                </c:pt>
                <c:pt idx="6">
                  <c:v>AISH</c:v>
                </c:pt>
                <c:pt idx="7">
                  <c:v>Workers' Compensation </c:v>
                </c:pt>
                <c:pt idx="8">
                  <c:v>Private Disability Insurance</c:v>
                </c:pt>
              </c:strCache>
            </c:strRef>
          </c:cat>
          <c:val>
            <c:numRef>
              <c:f>(Alberta!$F$261:$F$266,Alberta!$F$268,Alberta!$F$270:$F$271)</c:f>
              <c:numCache>
                <c:formatCode>#,##0.0</c:formatCode>
                <c:ptCount val="9"/>
                <c:pt idx="0">
                  <c:v>240.94400000000002</c:v>
                </c:pt>
                <c:pt idx="1">
                  <c:v>351.8</c:v>
                </c:pt>
                <c:pt idx="2">
                  <c:v>85.4</c:v>
                </c:pt>
                <c:pt idx="3">
                  <c:v>208.3</c:v>
                </c:pt>
                <c:pt idx="4">
                  <c:v>170</c:v>
                </c:pt>
                <c:pt idx="5">
                  <c:v>78.650000000000006</c:v>
                </c:pt>
                <c:pt idx="6">
                  <c:v>539.1</c:v>
                </c:pt>
                <c:pt idx="7">
                  <c:v>314.8</c:v>
                </c:pt>
                <c:pt idx="8">
                  <c:v>580</c:v>
                </c:pt>
              </c:numCache>
            </c:numRef>
          </c:val>
        </c:ser>
        <c:dLbls>
          <c:showCatName val="1"/>
          <c:showPercent val="1"/>
        </c:dLbls>
        <c:firstSliceAng val="0"/>
      </c:pieChart>
    </c:plotArea>
    <c:plotVisOnly val="1"/>
    <c:dispBlanksAs val="zero"/>
  </c:chart>
</c:chartSpace>
</file>

<file path=xl/charts/chart6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p>
          <a:p>
            <a:pPr>
              <a:defRPr lang="en-US"/>
            </a:pPr>
            <a:r>
              <a:rPr lang="en-US" sz="1800" b="1" i="0" baseline="0"/>
              <a:t>ALBERTA 2009-10</a:t>
            </a:r>
          </a:p>
          <a:p>
            <a:pPr>
              <a:defRPr lang="en-US"/>
            </a:pPr>
            <a:r>
              <a:rPr lang="en-US" sz="1800" b="1" i="0" baseline="0"/>
              <a:t>$2.4 B</a:t>
            </a:r>
          </a:p>
        </c:rich>
      </c:tx>
    </c:title>
    <c:plotArea>
      <c:layout>
        <c:manualLayout>
          <c:layoutTarget val="inner"/>
          <c:xMode val="edge"/>
          <c:yMode val="edge"/>
          <c:x val="0.24641382945646825"/>
          <c:y val="0.22626141936442587"/>
          <c:w val="0.49546371351108781"/>
          <c:h val="0.68237922114530281"/>
        </c:manualLayout>
      </c:layout>
      <c:pieChart>
        <c:varyColors val="1"/>
        <c:ser>
          <c:idx val="2"/>
          <c:order val="0"/>
          <c:dLbls>
            <c:dLbl>
              <c:idx val="0"/>
              <c:tx>
                <c:rich>
                  <a:bodyPr/>
                  <a:lstStyle/>
                  <a:p>
                    <a:r>
                      <a:rPr lang="en-US"/>
                      <a:t>Disability Tax Measures</a:t>
                    </a:r>
                  </a:p>
                  <a:p>
                    <a:r>
                      <a:rPr lang="en-US"/>
                      <a:t> $223 M</a:t>
                    </a:r>
                  </a:p>
                </c:rich>
              </c:tx>
              <c:showVal val="1"/>
              <c:showCatName val="1"/>
            </c:dLbl>
            <c:dLbl>
              <c:idx val="1"/>
              <c:layout>
                <c:manualLayout>
                  <c:x val="-0.11044652741236334"/>
                  <c:y val="8.1118714409466983E-2"/>
                </c:manualLayout>
              </c:layout>
              <c:tx>
                <c:rich>
                  <a:bodyPr/>
                  <a:lstStyle/>
                  <a:p>
                    <a:r>
                      <a:rPr lang="en-US"/>
                      <a:t>CPP-D</a:t>
                    </a:r>
                  </a:p>
                  <a:p>
                    <a:r>
                      <a:rPr lang="en-US"/>
                      <a:t>$331 M</a:t>
                    </a:r>
                  </a:p>
                </c:rich>
              </c:tx>
              <c:showVal val="1"/>
              <c:showCatName val="1"/>
            </c:dLbl>
            <c:dLbl>
              <c:idx val="2"/>
              <c:tx>
                <c:rich>
                  <a:bodyPr/>
                  <a:lstStyle/>
                  <a:p>
                    <a:r>
                      <a:rPr lang="en-US"/>
                      <a:t>EI Sickness $90</a:t>
                    </a:r>
                    <a:r>
                      <a:rPr lang="en-US" baseline="0"/>
                      <a:t> M</a:t>
                    </a:r>
                    <a:endParaRPr lang="en-US"/>
                  </a:p>
                </c:rich>
              </c:tx>
              <c:showVal val="1"/>
              <c:showCatName val="1"/>
            </c:dLbl>
            <c:dLbl>
              <c:idx val="3"/>
              <c:tx>
                <c:rich>
                  <a:bodyPr/>
                  <a:lstStyle/>
                  <a:p>
                    <a:r>
                      <a:rPr lang="en-US"/>
                      <a:t>Veterans' Disability Pensions &amp; Awards</a:t>
                    </a:r>
                  </a:p>
                  <a:p>
                    <a:r>
                      <a:rPr lang="en-US"/>
                      <a:t>$201 M</a:t>
                    </a:r>
                  </a:p>
                </c:rich>
              </c:tx>
              <c:showVal val="1"/>
              <c:showCatName val="1"/>
            </c:dLbl>
            <c:dLbl>
              <c:idx val="4"/>
              <c:layout>
                <c:manualLayout>
                  <c:x val="2.9022991088766392E-2"/>
                  <c:y val="-4.6074887603837301E-2"/>
                </c:manualLayout>
              </c:layout>
              <c:tx>
                <c:rich>
                  <a:bodyPr/>
                  <a:lstStyle/>
                  <a:p>
                    <a:r>
                      <a:rPr lang="en-US"/>
                      <a:t>Income Asst. - NETW/BFE </a:t>
                    </a:r>
                  </a:p>
                  <a:p>
                    <a:r>
                      <a:rPr lang="en-US"/>
                      <a:t>$153 M</a:t>
                    </a:r>
                  </a:p>
                </c:rich>
              </c:tx>
              <c:showVal val="1"/>
              <c:showCatName val="1"/>
            </c:dLbl>
            <c:dLbl>
              <c:idx val="5"/>
              <c:layout>
                <c:manualLayout>
                  <c:x val="7.3072841723095111E-2"/>
                  <c:y val="-7.6529065554032313E-3"/>
                </c:manualLayout>
              </c:layout>
              <c:tx>
                <c:rich>
                  <a:bodyPr/>
                  <a:lstStyle/>
                  <a:p>
                    <a:r>
                      <a:rPr lang="en-US"/>
                      <a:t>First Nations SA for Disabled</a:t>
                    </a:r>
                  </a:p>
                  <a:p>
                    <a:r>
                      <a:rPr lang="en-US"/>
                      <a:t>$76</a:t>
                    </a:r>
                    <a:r>
                      <a:rPr lang="en-US" baseline="0"/>
                      <a:t> </a:t>
                    </a:r>
                    <a:r>
                      <a:rPr lang="en-US"/>
                      <a:t>M</a:t>
                    </a:r>
                  </a:p>
                </c:rich>
              </c:tx>
              <c:showVal val="1"/>
              <c:showCatName val="1"/>
            </c:dLbl>
            <c:dLbl>
              <c:idx val="6"/>
              <c:layout>
                <c:manualLayout>
                  <c:x val="6.6700398116386089E-2"/>
                  <c:y val="-0.18542549601761002"/>
                </c:manualLayout>
              </c:layout>
              <c:tx>
                <c:rich>
                  <a:bodyPr/>
                  <a:lstStyle/>
                  <a:p>
                    <a:r>
                      <a:rPr lang="en-US"/>
                      <a:t>AISH</a:t>
                    </a:r>
                  </a:p>
                  <a:p>
                    <a:r>
                      <a:rPr lang="en-US"/>
                      <a:t>$518 M</a:t>
                    </a:r>
                  </a:p>
                </c:rich>
              </c:tx>
              <c:showVal val="1"/>
              <c:showCatName val="1"/>
            </c:dLbl>
            <c:dLbl>
              <c:idx val="7"/>
              <c:layout>
                <c:manualLayout>
                  <c:x val="0.20780025081355372"/>
                  <c:y val="-5.3152758788930748E-2"/>
                </c:manualLayout>
              </c:layout>
              <c:tx>
                <c:rich>
                  <a:bodyPr/>
                  <a:lstStyle/>
                  <a:p>
                    <a:r>
                      <a:rPr lang="en-US"/>
                      <a:t>Worker's Compensation</a:t>
                    </a:r>
                  </a:p>
                  <a:p>
                    <a:r>
                      <a:rPr lang="en-US"/>
                      <a:t>$308 M</a:t>
                    </a:r>
                  </a:p>
                </c:rich>
              </c:tx>
              <c:showVal val="1"/>
              <c:showCatName val="1"/>
            </c:dLbl>
            <c:dLbl>
              <c:idx val="8"/>
              <c:layout>
                <c:manualLayout>
                  <c:x val="0.1297103313195877"/>
                  <c:y val="0.19057272126164018"/>
                </c:manualLayout>
              </c:layout>
              <c:tx>
                <c:rich>
                  <a:bodyPr/>
                  <a:lstStyle/>
                  <a:p>
                    <a:r>
                      <a:rPr lang="en-US"/>
                      <a:t>Private Disability Insurance</a:t>
                    </a:r>
                  </a:p>
                  <a:p>
                    <a:r>
                      <a:rPr lang="en-US"/>
                      <a:t>$534</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(Alberta!$A$261:$A$266,Alberta!$A$268,Alberta!$A$270:$A$271)</c:f>
              <c:strCache>
                <c:ptCount val="9"/>
                <c:pt idx="0">
                  <c:v>Disability Tax Measures</c:v>
                </c:pt>
                <c:pt idx="1">
                  <c:v>CPP-D</c:v>
                </c:pt>
                <c:pt idx="2">
                  <c:v>EI Sickness</c:v>
                </c:pt>
                <c:pt idx="3">
                  <c:v>Veterans' Disability Pensions &amp; Awards</c:v>
                </c:pt>
                <c:pt idx="4">
                  <c:v>Income Asst. - NETW/BFE</c:v>
                </c:pt>
                <c:pt idx="5">
                  <c:v>First Nations SA for Disabled </c:v>
                </c:pt>
                <c:pt idx="6">
                  <c:v>AISH</c:v>
                </c:pt>
                <c:pt idx="7">
                  <c:v>Workers' Compensation </c:v>
                </c:pt>
                <c:pt idx="8">
                  <c:v>Private Disability Insurance</c:v>
                </c:pt>
              </c:strCache>
            </c:strRef>
          </c:cat>
          <c:val>
            <c:numRef>
              <c:f>(Alberta!$D$261:$D$266,Alberta!$D$268,Alberta!$D$270:$D$271)</c:f>
              <c:numCache>
                <c:formatCode>#,##0.0</c:formatCode>
                <c:ptCount val="9"/>
                <c:pt idx="0">
                  <c:v>223.28649999999996</c:v>
                </c:pt>
                <c:pt idx="1">
                  <c:v>330.5</c:v>
                </c:pt>
                <c:pt idx="2">
                  <c:v>89.9</c:v>
                </c:pt>
                <c:pt idx="3">
                  <c:v>200.9898</c:v>
                </c:pt>
                <c:pt idx="4">
                  <c:v>153.1</c:v>
                </c:pt>
                <c:pt idx="5">
                  <c:v>75.790000000000006</c:v>
                </c:pt>
                <c:pt idx="6">
                  <c:v>517.70000000000005</c:v>
                </c:pt>
                <c:pt idx="7">
                  <c:v>307.8</c:v>
                </c:pt>
                <c:pt idx="8">
                  <c:v>534</c:v>
                </c:pt>
              </c:numCache>
            </c:numRef>
          </c:val>
        </c:ser>
        <c:dLbls>
          <c:showCatName val="1"/>
          <c:showPercent val="1"/>
        </c:dLbls>
        <c:firstSliceAng val="0"/>
      </c:pieChart>
    </c:plotArea>
    <c:plotVisOnly val="1"/>
    <c:dispBlanksAs val="zero"/>
  </c:chart>
  <c:userShapes r:id="rId1"/>
</c:chartSpace>
</file>

<file path=xl/charts/chart6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endParaRPr lang="en-CA"/>
          </a:p>
          <a:p>
            <a:pPr>
              <a:defRPr/>
            </a:pPr>
            <a:r>
              <a:rPr lang="en-US" sz="1800" b="1" i="0" baseline="0"/>
              <a:t>PERCENTAGE CHANGE IN EXPENDITURES FROM 2005 TO 2013</a:t>
            </a:r>
          </a:p>
          <a:p>
            <a:pPr>
              <a:defRPr/>
            </a:pPr>
            <a:r>
              <a:rPr lang="en-US" sz="1800" b="1" i="0" baseline="0"/>
              <a:t>ALBERTA</a:t>
            </a:r>
          </a:p>
        </c:rich>
      </c:tx>
    </c:title>
    <c:plotArea>
      <c:layout>
        <c:manualLayout>
          <c:layoutTarget val="inner"/>
          <c:xMode val="edge"/>
          <c:yMode val="edge"/>
          <c:x val="7.7581891926553584E-2"/>
          <c:y val="0.16762397932369799"/>
          <c:w val="0.91362988622828656"/>
          <c:h val="0.70074523906814989"/>
        </c:manualLayout>
      </c:layout>
      <c:barChart>
        <c:barDir val="col"/>
        <c:grouping val="clustered"/>
        <c:ser>
          <c:idx val="0"/>
          <c:order val="0"/>
          <c:spPr>
            <a:solidFill>
              <a:srgbClr val="F79646">
                <a:lumMod val="75000"/>
              </a:srgbClr>
            </a:solidFill>
          </c:spPr>
          <c:dLbls>
            <c:dLbl>
              <c:idx val="0"/>
              <c:layout>
                <c:manualLayout>
                  <c:x val="0"/>
                  <c:y val="6.0530418044355931E-3"/>
                </c:manualLayout>
              </c:layout>
              <c:showVal val="1"/>
            </c:dLbl>
            <c:dLbl>
              <c:idx val="4"/>
              <c:layout>
                <c:manualLayout>
                  <c:x val="5.3705179758088667E-17"/>
                  <c:y val="-1.2106083608871186E-2"/>
                </c:manualLayout>
              </c:layout>
              <c:showVal val="1"/>
            </c:dLbl>
            <c:dLbl>
              <c:idx val="7"/>
              <c:layout>
                <c:manualLayout>
                  <c:x val="0"/>
                  <c:y val="-1.0088403007392655E-2"/>
                </c:manualLayout>
              </c:layout>
              <c:showVal val="1"/>
            </c:dLbl>
            <c:txPr>
              <a:bodyPr/>
              <a:lstStyle/>
              <a:p>
                <a:pPr>
                  <a:defRPr sz="1200" b="1"/>
                </a:pPr>
                <a:endParaRPr lang="en-US"/>
              </a:p>
            </c:txPr>
            <c:showVal val="1"/>
          </c:dLbls>
          <c:cat>
            <c:strRef>
              <c:f>(Alberta!$A$261:$A$266,Alberta!$A$268:$A$271)</c:f>
              <c:strCache>
                <c:ptCount val="10"/>
                <c:pt idx="0">
                  <c:v>Disability Tax Measures</c:v>
                </c:pt>
                <c:pt idx="1">
                  <c:v>CPP-D</c:v>
                </c:pt>
                <c:pt idx="2">
                  <c:v>EI Sickness</c:v>
                </c:pt>
                <c:pt idx="3">
                  <c:v>Veterans' Disability Pensions &amp; Awards</c:v>
                </c:pt>
                <c:pt idx="4">
                  <c:v>Income Asst. - NETW/BFE</c:v>
                </c:pt>
                <c:pt idx="5">
                  <c:v>First Nations SA for Disabled </c:v>
                </c:pt>
                <c:pt idx="6">
                  <c:v>AISH</c:v>
                </c:pt>
                <c:pt idx="7">
                  <c:v>Total SA, incl. FN and AISH</c:v>
                </c:pt>
                <c:pt idx="8">
                  <c:v>Workers' Compensation </c:v>
                </c:pt>
                <c:pt idx="9">
                  <c:v>Private Disability Insurance</c:v>
                </c:pt>
              </c:strCache>
            </c:strRef>
          </c:cat>
          <c:val>
            <c:numRef>
              <c:f>(Alberta!$K$261:$K$266,Alberta!$K$268:$K$271)</c:f>
              <c:numCache>
                <c:formatCode>0.0%</c:formatCode>
                <c:ptCount val="10"/>
                <c:pt idx="0">
                  <c:v>0.52899426559927332</c:v>
                </c:pt>
                <c:pt idx="1">
                  <c:v>0.31135770234986959</c:v>
                </c:pt>
                <c:pt idx="2">
                  <c:v>0.41547277936962751</c:v>
                </c:pt>
                <c:pt idx="3">
                  <c:v>0.23599003735990043</c:v>
                </c:pt>
                <c:pt idx="4">
                  <c:v>0.74017857142857146</c:v>
                </c:pt>
                <c:pt idx="5">
                  <c:v>0.46593443730990186</c:v>
                </c:pt>
                <c:pt idx="6">
                  <c:v>1.4110555718906201</c:v>
                </c:pt>
                <c:pt idx="7">
                  <c:v>1.1546980128305429</c:v>
                </c:pt>
                <c:pt idx="8">
                  <c:v>0.19789545145960608</c:v>
                </c:pt>
                <c:pt idx="9">
                  <c:v>0.65454545454545454</c:v>
                </c:pt>
              </c:numCache>
            </c:numRef>
          </c:val>
        </c:ser>
        <c:dLbls/>
        <c:gapWidth val="50"/>
        <c:axId val="140299264"/>
        <c:axId val="140374784"/>
      </c:barChart>
      <c:catAx>
        <c:axId val="140299264"/>
        <c:scaling>
          <c:orientation val="minMax"/>
        </c:scaling>
        <c:axPos val="b"/>
        <c:majorTickMark val="none"/>
        <c:tickLblPos val="nextTo"/>
        <c:txPr>
          <a:bodyPr/>
          <a:lstStyle/>
          <a:p>
            <a:pPr>
              <a:defRPr sz="1000" b="1"/>
            </a:pPr>
            <a:endParaRPr lang="en-US"/>
          </a:p>
        </c:txPr>
        <c:crossAx val="140374784"/>
        <c:crosses val="autoZero"/>
        <c:auto val="1"/>
        <c:lblAlgn val="ctr"/>
        <c:lblOffset val="100"/>
      </c:catAx>
      <c:valAx>
        <c:axId val="140374784"/>
        <c:scaling>
          <c:orientation val="minMax"/>
        </c:scaling>
        <c:axPos val="l"/>
        <c:majorGridlines/>
        <c:numFmt formatCode="0%" sourceLinked="0"/>
        <c:majorTickMark val="none"/>
        <c:tickLblPos val="nextTo"/>
        <c:crossAx val="140299264"/>
        <c:crosses val="autoZero"/>
        <c:crossBetween val="between"/>
      </c:valAx>
    </c:plotArea>
    <c:plotVisOnly val="1"/>
    <c:dispBlanksAs val="gap"/>
  </c:chart>
</c:chartSpace>
</file>

<file path=xl/charts/chart6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2010-11 </a:t>
            </a:r>
          </a:p>
          <a:p>
            <a:pPr>
              <a:defRPr lang="en-US"/>
            </a:pPr>
            <a:r>
              <a:rPr lang="en-US" sz="1800" b="1" i="0" baseline="0"/>
              <a:t>Alberta</a:t>
            </a:r>
            <a:endParaRPr lang="en-US"/>
          </a:p>
        </c:rich>
      </c:tx>
    </c:title>
    <c:plotArea>
      <c:layout/>
      <c:barChart>
        <c:barDir val="col"/>
        <c:grouping val="clustered"/>
        <c:ser>
          <c:idx val="5"/>
          <c:order val="0"/>
          <c:spPr>
            <a:solidFill>
              <a:schemeClr val="accent3"/>
            </a:solidFill>
          </c:spPr>
          <c:dLbls>
            <c:dLbl>
              <c:idx val="7"/>
              <c:layout>
                <c:manualLayout>
                  <c:x val="0"/>
                  <c:y val="-6.0471563921617524E-3"/>
                </c:manualLayout>
              </c:layout>
              <c:showVal val="1"/>
            </c:dLbl>
            <c:txPr>
              <a:bodyPr/>
              <a:lstStyle/>
              <a:p>
                <a:pPr>
                  <a:defRPr lang="en-US" sz="1200" b="1" i="0" baseline="0"/>
                </a:pPr>
                <a:endParaRPr lang="en-US"/>
              </a:p>
            </c:txPr>
            <c:showVal val="1"/>
          </c:dLbls>
          <c:cat>
            <c:strRef>
              <c:f>(Alberta!$A$261:$A$266,Alberta!$A$268:$A$271)</c:f>
              <c:strCache>
                <c:ptCount val="10"/>
                <c:pt idx="0">
                  <c:v>Disability Tax Measures</c:v>
                </c:pt>
                <c:pt idx="1">
                  <c:v>CPP-D</c:v>
                </c:pt>
                <c:pt idx="2">
                  <c:v>EI Sickness</c:v>
                </c:pt>
                <c:pt idx="3">
                  <c:v>Veterans' Disability Pensions &amp; Awards</c:v>
                </c:pt>
                <c:pt idx="4">
                  <c:v>Income Asst. - NETW/BFE</c:v>
                </c:pt>
                <c:pt idx="5">
                  <c:v>First Nations SA for Disabled </c:v>
                </c:pt>
                <c:pt idx="6">
                  <c:v>AISH</c:v>
                </c:pt>
                <c:pt idx="7">
                  <c:v>Total SA, incl. FN and AISH</c:v>
                </c:pt>
                <c:pt idx="8">
                  <c:v>Workers' Compensation </c:v>
                </c:pt>
                <c:pt idx="9">
                  <c:v>Private Disability Insurance</c:v>
                </c:pt>
              </c:strCache>
            </c:strRef>
          </c:cat>
          <c:val>
            <c:numRef>
              <c:f>(Alberta!$G$261:$G$266,Alberta!$G$268:$G$271)</c:f>
              <c:numCache>
                <c:formatCode>0.0%</c:formatCode>
                <c:ptCount val="10"/>
                <c:pt idx="0">
                  <c:v>0.36798955317095339</c:v>
                </c:pt>
                <c:pt idx="1">
                  <c:v>0.14817232375979125</c:v>
                </c:pt>
                <c:pt idx="2">
                  <c:v>0.2234957020057308</c:v>
                </c:pt>
                <c:pt idx="3">
                  <c:v>0.29701120797011221</c:v>
                </c:pt>
                <c:pt idx="4">
                  <c:v>0.5178571428571429</c:v>
                </c:pt>
                <c:pt idx="5">
                  <c:v>0.32899628252788116</c:v>
                </c:pt>
                <c:pt idx="6">
                  <c:v>0.58512202293443105</c:v>
                </c:pt>
                <c:pt idx="7">
                  <c:v>0.54074088562040357</c:v>
                </c:pt>
                <c:pt idx="8">
                  <c:v>6.8567549219280335E-2</c:v>
                </c:pt>
                <c:pt idx="9">
                  <c:v>0.50649350649350644</c:v>
                </c:pt>
              </c:numCache>
            </c:numRef>
          </c:val>
        </c:ser>
        <c:dLbls/>
        <c:gapWidth val="50"/>
        <c:axId val="140534528"/>
        <c:axId val="140536064"/>
      </c:barChart>
      <c:catAx>
        <c:axId val="140534528"/>
        <c:scaling>
          <c:orientation val="minMax"/>
        </c:scaling>
        <c:axPos val="b"/>
        <c:majorTickMark val="none"/>
        <c:tickLblPos val="nextTo"/>
        <c:txPr>
          <a:bodyPr/>
          <a:lstStyle/>
          <a:p>
            <a:pPr>
              <a:defRPr lang="en-US" sz="1000" b="1" i="0" baseline="0"/>
            </a:pPr>
            <a:endParaRPr lang="en-US"/>
          </a:p>
        </c:txPr>
        <c:crossAx val="140536064"/>
        <c:crosses val="autoZero"/>
        <c:auto val="1"/>
        <c:lblAlgn val="ctr"/>
        <c:lblOffset val="100"/>
      </c:catAx>
      <c:valAx>
        <c:axId val="140536064"/>
        <c:scaling>
          <c:orientation val="minMax"/>
        </c:scaling>
        <c:axPos val="l"/>
        <c:majorGridlines/>
        <c:numFmt formatCode="0%" sourceLinked="0"/>
        <c:majorTickMark val="none"/>
        <c:tickLblPos val="nextTo"/>
        <c:txPr>
          <a:bodyPr/>
          <a:lstStyle/>
          <a:p>
            <a:pPr>
              <a:defRPr lang="en-US"/>
            </a:pPr>
            <a:endParaRPr lang="en-US"/>
          </a:p>
        </c:txPr>
        <c:crossAx val="140534528"/>
        <c:crosses val="autoZero"/>
        <c:crossBetween val="between"/>
      </c:valAx>
    </c:plotArea>
    <c:plotVisOnly val="1"/>
    <c:dispBlanksAs val="gap"/>
  </c:chart>
</c:chartSpace>
</file>

<file path=xl/charts/chart6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2009-10 </a:t>
            </a:r>
            <a:endParaRPr lang="en-US"/>
          </a:p>
          <a:p>
            <a:pPr>
              <a:defRPr lang="en-US"/>
            </a:pPr>
            <a:r>
              <a:rPr lang="en-US" sz="1800" b="1" i="0" baseline="0"/>
              <a:t>Alberta</a:t>
            </a:r>
          </a:p>
        </c:rich>
      </c:tx>
    </c:title>
    <c:plotArea>
      <c:layout>
        <c:manualLayout>
          <c:layoutTarget val="inner"/>
          <c:xMode val="edge"/>
          <c:yMode val="edge"/>
          <c:x val="7.4146151791293274E-2"/>
          <c:y val="0.16736021148858135"/>
          <c:w val="0.92439026976170857"/>
          <c:h val="0.71820076622709184"/>
        </c:manualLayout>
      </c:layout>
      <c:barChart>
        <c:barDir val="col"/>
        <c:grouping val="clustered"/>
        <c:ser>
          <c:idx val="3"/>
          <c:order val="0"/>
          <c:spPr>
            <a:solidFill>
              <a:schemeClr val="accent1"/>
            </a:solidFill>
          </c:spPr>
          <c:dLbls>
            <c:dLbl>
              <c:idx val="0"/>
              <c:layout>
                <c:manualLayout>
                  <c:x val="2.9271568939961252E-3"/>
                  <c:y val="-8.0628751895490246E-3"/>
                </c:manualLayout>
              </c:layout>
              <c:showVal val="1"/>
            </c:dLbl>
            <c:dLbl>
              <c:idx val="1"/>
              <c:layout>
                <c:manualLayout>
                  <c:x val="0"/>
                  <c:y val="-1.2094312784323318E-2"/>
                </c:manualLayout>
              </c:layout>
              <c:showVal val="1"/>
            </c:dLbl>
            <c:dLbl>
              <c:idx val="2"/>
              <c:layout>
                <c:manualLayout>
                  <c:x val="0"/>
                  <c:y val="-8.0628751895490246E-3"/>
                </c:manualLayout>
              </c:layout>
              <c:showVal val="1"/>
            </c:dLbl>
            <c:dLbl>
              <c:idx val="5"/>
              <c:layout>
                <c:manualLayout>
                  <c:x val="0"/>
                  <c:y val="-1.6125750379097983E-2"/>
                </c:manualLayout>
              </c:layout>
              <c:showVal val="1"/>
            </c:dLbl>
            <c:dLbl>
              <c:idx val="8"/>
              <c:layout>
                <c:manualLayout>
                  <c:x val="0"/>
                  <c:y val="-6.0471563921617524E-3"/>
                </c:manualLayout>
              </c:layout>
              <c:showVal val="1"/>
            </c:dLbl>
            <c:dLbl>
              <c:idx val="9"/>
              <c:layout>
                <c:manualLayout>
                  <c:x val="0"/>
                  <c:y val="-8.0628751895490246E-3"/>
                </c:manualLayout>
              </c:layout>
              <c:showVal val="1"/>
            </c:dLbl>
            <c:txPr>
              <a:bodyPr/>
              <a:lstStyle/>
              <a:p>
                <a:pPr>
                  <a:defRPr lang="en-US" sz="1200" b="1" i="0" baseline="0"/>
                </a:pPr>
                <a:endParaRPr lang="en-US"/>
              </a:p>
            </c:txPr>
            <c:showVal val="1"/>
          </c:dLbls>
          <c:cat>
            <c:strRef>
              <c:f>(Alberta!$A$261:$A$266,Alberta!$A$268:$A$271)</c:f>
              <c:strCache>
                <c:ptCount val="10"/>
                <c:pt idx="0">
                  <c:v>Disability Tax Measures</c:v>
                </c:pt>
                <c:pt idx="1">
                  <c:v>CPP-D</c:v>
                </c:pt>
                <c:pt idx="2">
                  <c:v>EI Sickness</c:v>
                </c:pt>
                <c:pt idx="3">
                  <c:v>Veterans' Disability Pensions &amp; Awards</c:v>
                </c:pt>
                <c:pt idx="4">
                  <c:v>Income Asst. - NETW/BFE</c:v>
                </c:pt>
                <c:pt idx="5">
                  <c:v>First Nations SA for Disabled </c:v>
                </c:pt>
                <c:pt idx="6">
                  <c:v>AISH</c:v>
                </c:pt>
                <c:pt idx="7">
                  <c:v>Total SA, incl. FN and AISH</c:v>
                </c:pt>
                <c:pt idx="8">
                  <c:v>Workers' Compensation </c:v>
                </c:pt>
                <c:pt idx="9">
                  <c:v>Private Disability Insurance</c:v>
                </c:pt>
              </c:strCache>
            </c:strRef>
          </c:cat>
          <c:val>
            <c:numRef>
              <c:f>(Alberta!$E$261:$E$266,Alberta!$E$268:$E$271)</c:f>
              <c:numCache>
                <c:formatCode>0.0%</c:formatCode>
                <c:ptCount val="10"/>
                <c:pt idx="0">
                  <c:v>0.26773689888150781</c:v>
                </c:pt>
                <c:pt idx="1">
                  <c:v>7.8655352480417828E-2</c:v>
                </c:pt>
                <c:pt idx="2">
                  <c:v>0.28796561604584542</c:v>
                </c:pt>
                <c:pt idx="3">
                  <c:v>0.25149315068493155</c:v>
                </c:pt>
                <c:pt idx="4">
                  <c:v>0.36696428571428569</c:v>
                </c:pt>
                <c:pt idx="5">
                  <c:v>0.28066914498141277</c:v>
                </c:pt>
                <c:pt idx="6">
                  <c:v>0.52219935313143195</c:v>
                </c:pt>
                <c:pt idx="7">
                  <c:v>0.46023705210452198</c:v>
                </c:pt>
                <c:pt idx="8">
                  <c:v>4.4806517311608916E-2</c:v>
                </c:pt>
                <c:pt idx="9">
                  <c:v>0.38701298701298703</c:v>
                </c:pt>
              </c:numCache>
            </c:numRef>
          </c:val>
        </c:ser>
        <c:dLbls/>
        <c:gapWidth val="70"/>
        <c:axId val="141166848"/>
        <c:axId val="141197312"/>
      </c:barChart>
      <c:catAx>
        <c:axId val="141166848"/>
        <c:scaling>
          <c:orientation val="minMax"/>
        </c:scaling>
        <c:axPos val="b"/>
        <c:majorTickMark val="none"/>
        <c:tickLblPos val="nextTo"/>
        <c:txPr>
          <a:bodyPr/>
          <a:lstStyle/>
          <a:p>
            <a:pPr>
              <a:defRPr lang="en-US" sz="1000" b="1" i="0" baseline="0"/>
            </a:pPr>
            <a:endParaRPr lang="en-US"/>
          </a:p>
        </c:txPr>
        <c:crossAx val="141197312"/>
        <c:crosses val="autoZero"/>
        <c:auto val="1"/>
        <c:lblAlgn val="ctr"/>
        <c:lblOffset val="100"/>
      </c:catAx>
      <c:valAx>
        <c:axId val="141197312"/>
        <c:scaling>
          <c:orientation val="minMax"/>
        </c:scaling>
        <c:axPos val="l"/>
        <c:majorGridlines/>
        <c:numFmt formatCode="0%" sourceLinked="0"/>
        <c:majorTickMark val="none"/>
        <c:tickLblPos val="nextTo"/>
        <c:txPr>
          <a:bodyPr/>
          <a:lstStyle/>
          <a:p>
            <a:pPr>
              <a:defRPr lang="en-US"/>
            </a:pPr>
            <a:endParaRPr lang="en-US"/>
          </a:p>
        </c:txPr>
        <c:crossAx val="141166848"/>
        <c:crosses val="autoZero"/>
        <c:crossBetween val="between"/>
      </c:valAx>
    </c:plotArea>
    <c:plotVisOnly val="1"/>
    <c:dispBlanksAs val="gap"/>
  </c:chart>
  <c:userShapes r:id="rId1"/>
</c:chartSpace>
</file>

<file path=xl/charts/chart6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endParaRPr lang="en-CA"/>
          </a:p>
          <a:p>
            <a:pPr>
              <a:defRPr/>
            </a:pPr>
            <a:r>
              <a:rPr lang="en-US" sz="1800" b="1" i="0" baseline="0"/>
              <a:t>Percentage Change in Expenditures from 2005-06 to </a:t>
            </a:r>
            <a:endParaRPr lang="en-CA"/>
          </a:p>
          <a:p>
            <a:pPr>
              <a:defRPr/>
            </a:pPr>
            <a:r>
              <a:rPr lang="en-US" sz="1800" b="1" i="0" baseline="0"/>
              <a:t>2009-10, 2010-11 and 2011-12</a:t>
            </a:r>
            <a:endParaRPr lang="en-CA"/>
          </a:p>
          <a:p>
            <a:pPr>
              <a:defRPr/>
            </a:pPr>
            <a:r>
              <a:rPr lang="en-US" sz="1800" b="1" i="0" baseline="0"/>
              <a:t>Alberta</a:t>
            </a:r>
            <a:endParaRPr lang="en-CA"/>
          </a:p>
        </c:rich>
      </c:tx>
    </c:title>
    <c:plotArea>
      <c:layout>
        <c:manualLayout>
          <c:layoutTarget val="inner"/>
          <c:xMode val="edge"/>
          <c:yMode val="edge"/>
          <c:x val="5.2825747783107557E-2"/>
          <c:y val="0.21186154707487151"/>
          <c:w val="0.93545662309000344"/>
          <c:h val="0.65205272787239854"/>
        </c:manualLayout>
      </c:layout>
      <c:barChart>
        <c:barDir val="col"/>
        <c:grouping val="clustered"/>
        <c:ser>
          <c:idx val="3"/>
          <c:order val="0"/>
          <c:tx>
            <c:strRef>
              <c:f>Alberta!$E$260</c:f>
              <c:strCache>
                <c:ptCount val="1"/>
                <c:pt idx="0">
                  <c:v>% change since 2005-06</c:v>
                </c:pt>
              </c:strCache>
            </c:strRef>
          </c:tx>
          <c:spPr>
            <a:solidFill>
              <a:schemeClr val="accent1"/>
            </a:solidFill>
          </c:spPr>
          <c:cat>
            <c:strRef>
              <c:f>(Alberta!$A$261:$A$266,Alberta!$A$268:$A$271)</c:f>
              <c:strCache>
                <c:ptCount val="10"/>
                <c:pt idx="0">
                  <c:v>Disability Tax Measures</c:v>
                </c:pt>
                <c:pt idx="1">
                  <c:v>CPP-D</c:v>
                </c:pt>
                <c:pt idx="2">
                  <c:v>EI Sickness</c:v>
                </c:pt>
                <c:pt idx="3">
                  <c:v>Veterans' Disability Pensions &amp; Awards</c:v>
                </c:pt>
                <c:pt idx="4">
                  <c:v>Income Asst. - NETW/BFE</c:v>
                </c:pt>
                <c:pt idx="5">
                  <c:v>First Nations SA for Disabled </c:v>
                </c:pt>
                <c:pt idx="6">
                  <c:v>AISH</c:v>
                </c:pt>
                <c:pt idx="7">
                  <c:v>Total SA, incl. FN and AISH</c:v>
                </c:pt>
                <c:pt idx="8">
                  <c:v>Workers' Compensation </c:v>
                </c:pt>
                <c:pt idx="9">
                  <c:v>Private Disability Insurance</c:v>
                </c:pt>
              </c:strCache>
            </c:strRef>
          </c:cat>
          <c:val>
            <c:numRef>
              <c:f>(Alberta!$E$261:$E$266,Alberta!$E$268:$E$271)</c:f>
              <c:numCache>
                <c:formatCode>0.0%</c:formatCode>
                <c:ptCount val="10"/>
                <c:pt idx="0">
                  <c:v>0.26773689888150781</c:v>
                </c:pt>
                <c:pt idx="1">
                  <c:v>7.8655352480417828E-2</c:v>
                </c:pt>
                <c:pt idx="2">
                  <c:v>0.28796561604584542</c:v>
                </c:pt>
                <c:pt idx="3">
                  <c:v>0.25149315068493155</c:v>
                </c:pt>
                <c:pt idx="4">
                  <c:v>0.36696428571428569</c:v>
                </c:pt>
                <c:pt idx="5">
                  <c:v>0.28066914498141277</c:v>
                </c:pt>
                <c:pt idx="6">
                  <c:v>0.52219935313143195</c:v>
                </c:pt>
                <c:pt idx="7">
                  <c:v>0.46023705210452198</c:v>
                </c:pt>
                <c:pt idx="8">
                  <c:v>4.4806517311608916E-2</c:v>
                </c:pt>
                <c:pt idx="9">
                  <c:v>0.38701298701298703</c:v>
                </c:pt>
              </c:numCache>
            </c:numRef>
          </c:val>
        </c:ser>
        <c:ser>
          <c:idx val="5"/>
          <c:order val="1"/>
          <c:tx>
            <c:strRef>
              <c:f>Alberta!$G$260</c:f>
              <c:strCache>
                <c:ptCount val="1"/>
                <c:pt idx="0">
                  <c:v>% change since 2005-06</c:v>
                </c:pt>
              </c:strCache>
            </c:strRef>
          </c:tx>
          <c:spPr>
            <a:solidFill>
              <a:srgbClr val="92D050"/>
            </a:solidFill>
          </c:spPr>
          <c:cat>
            <c:strRef>
              <c:f>(Alberta!$A$261:$A$266,Alberta!$A$268:$A$271)</c:f>
              <c:strCache>
                <c:ptCount val="10"/>
                <c:pt idx="0">
                  <c:v>Disability Tax Measures</c:v>
                </c:pt>
                <c:pt idx="1">
                  <c:v>CPP-D</c:v>
                </c:pt>
                <c:pt idx="2">
                  <c:v>EI Sickness</c:v>
                </c:pt>
                <c:pt idx="3">
                  <c:v>Veterans' Disability Pensions &amp; Awards</c:v>
                </c:pt>
                <c:pt idx="4">
                  <c:v>Income Asst. - NETW/BFE</c:v>
                </c:pt>
                <c:pt idx="5">
                  <c:v>First Nations SA for Disabled </c:v>
                </c:pt>
                <c:pt idx="6">
                  <c:v>AISH</c:v>
                </c:pt>
                <c:pt idx="7">
                  <c:v>Total SA, incl. FN and AISH</c:v>
                </c:pt>
                <c:pt idx="8">
                  <c:v>Workers' Compensation </c:v>
                </c:pt>
                <c:pt idx="9">
                  <c:v>Private Disability Insurance</c:v>
                </c:pt>
              </c:strCache>
            </c:strRef>
          </c:cat>
          <c:val>
            <c:numRef>
              <c:f>(Alberta!$G$261:$G$266,Alberta!$G$268:$G$271)</c:f>
              <c:numCache>
                <c:formatCode>0.0%</c:formatCode>
                <c:ptCount val="10"/>
                <c:pt idx="0">
                  <c:v>0.36798955317095339</c:v>
                </c:pt>
                <c:pt idx="1">
                  <c:v>0.14817232375979125</c:v>
                </c:pt>
                <c:pt idx="2">
                  <c:v>0.2234957020057308</c:v>
                </c:pt>
                <c:pt idx="3">
                  <c:v>0.29701120797011221</c:v>
                </c:pt>
                <c:pt idx="4">
                  <c:v>0.5178571428571429</c:v>
                </c:pt>
                <c:pt idx="5">
                  <c:v>0.32899628252788116</c:v>
                </c:pt>
                <c:pt idx="6">
                  <c:v>0.58512202293443105</c:v>
                </c:pt>
                <c:pt idx="7">
                  <c:v>0.54074088562040357</c:v>
                </c:pt>
                <c:pt idx="8">
                  <c:v>6.8567549219280335E-2</c:v>
                </c:pt>
                <c:pt idx="9">
                  <c:v>0.50649350649350644</c:v>
                </c:pt>
              </c:numCache>
            </c:numRef>
          </c:val>
        </c:ser>
        <c:ser>
          <c:idx val="7"/>
          <c:order val="2"/>
          <c:tx>
            <c:strRef>
              <c:f>Alberta!$I$260</c:f>
              <c:strCache>
                <c:ptCount val="1"/>
                <c:pt idx="0">
                  <c:v>% change since 2005-06</c:v>
                </c:pt>
              </c:strCache>
            </c:strRef>
          </c:tx>
          <c:spPr>
            <a:solidFill>
              <a:schemeClr val="accent6">
                <a:lumMod val="75000"/>
              </a:schemeClr>
            </a:solidFill>
          </c:spPr>
          <c:cat>
            <c:strRef>
              <c:f>(Alberta!$A$261:$A$266,Alberta!$A$268:$A$271)</c:f>
              <c:strCache>
                <c:ptCount val="10"/>
                <c:pt idx="0">
                  <c:v>Disability Tax Measures</c:v>
                </c:pt>
                <c:pt idx="1">
                  <c:v>CPP-D</c:v>
                </c:pt>
                <c:pt idx="2">
                  <c:v>EI Sickness</c:v>
                </c:pt>
                <c:pt idx="3">
                  <c:v>Veterans' Disability Pensions &amp; Awards</c:v>
                </c:pt>
                <c:pt idx="4">
                  <c:v>Income Asst. - NETW/BFE</c:v>
                </c:pt>
                <c:pt idx="5">
                  <c:v>First Nations SA for Disabled </c:v>
                </c:pt>
                <c:pt idx="6">
                  <c:v>AISH</c:v>
                </c:pt>
                <c:pt idx="7">
                  <c:v>Total SA, incl. FN and AISH</c:v>
                </c:pt>
                <c:pt idx="8">
                  <c:v>Workers' Compensation </c:v>
                </c:pt>
                <c:pt idx="9">
                  <c:v>Private Disability Insurance</c:v>
                </c:pt>
              </c:strCache>
            </c:strRef>
          </c:cat>
          <c:val>
            <c:numRef>
              <c:f>(Alberta!$I$261:$I$266,Alberta!$I$268:$I$271)</c:f>
              <c:numCache>
                <c:formatCode>0.0%</c:formatCode>
                <c:ptCount val="10"/>
                <c:pt idx="0">
                  <c:v>0.44172259126781355</c:v>
                </c:pt>
                <c:pt idx="1">
                  <c:v>0.25000000000000011</c:v>
                </c:pt>
                <c:pt idx="2">
                  <c:v>0.2234957020057308</c:v>
                </c:pt>
                <c:pt idx="3">
                  <c:v>0.24657534246575341</c:v>
                </c:pt>
                <c:pt idx="4">
                  <c:v>0.57857142857142863</c:v>
                </c:pt>
                <c:pt idx="5">
                  <c:v>0.38568773234200759</c:v>
                </c:pt>
                <c:pt idx="6">
                  <c:v>0.70479270802705063</c:v>
                </c:pt>
                <c:pt idx="7">
                  <c:v>0.64020693162259423</c:v>
                </c:pt>
                <c:pt idx="8">
                  <c:v>0.19517990495587234</c:v>
                </c:pt>
                <c:pt idx="9">
                  <c:v>0.58441558441558439</c:v>
                </c:pt>
              </c:numCache>
            </c:numRef>
          </c:val>
        </c:ser>
        <c:dLbls/>
        <c:axId val="141248768"/>
        <c:axId val="141266944"/>
      </c:barChart>
      <c:catAx>
        <c:axId val="141248768"/>
        <c:scaling>
          <c:orientation val="minMax"/>
        </c:scaling>
        <c:axPos val="b"/>
        <c:majorTickMark val="none"/>
        <c:tickLblPos val="nextTo"/>
        <c:txPr>
          <a:bodyPr/>
          <a:lstStyle/>
          <a:p>
            <a:pPr>
              <a:defRPr sz="1050" b="1"/>
            </a:pPr>
            <a:endParaRPr lang="en-US"/>
          </a:p>
        </c:txPr>
        <c:crossAx val="141266944"/>
        <c:crosses val="autoZero"/>
        <c:auto val="1"/>
        <c:lblAlgn val="ctr"/>
        <c:lblOffset val="100"/>
      </c:catAx>
      <c:valAx>
        <c:axId val="141266944"/>
        <c:scaling>
          <c:orientation val="minMax"/>
        </c:scaling>
        <c:axPos val="l"/>
        <c:majorGridlines/>
        <c:numFmt formatCode="0%" sourceLinked="0"/>
        <c:majorTickMark val="none"/>
        <c:tickLblPos val="nextTo"/>
        <c:crossAx val="141248768"/>
        <c:crosses val="autoZero"/>
        <c:crossBetween val="between"/>
      </c:valAx>
    </c:plotArea>
    <c:plotVisOnly val="1"/>
    <c:dispBlanksAs val="gap"/>
  </c:chart>
  <c:userShapes r:id="rId1"/>
</c:chartSpace>
</file>

<file path=xl/charts/chart6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a:t>
            </a:r>
          </a:p>
          <a:p>
            <a:pPr>
              <a:defRPr lang="en-US"/>
            </a:pPr>
            <a:r>
              <a:rPr lang="en-US" sz="1800" b="1" i="0" baseline="0"/>
              <a:t>2009-10 and 2010-11</a:t>
            </a:r>
          </a:p>
          <a:p>
            <a:pPr>
              <a:defRPr lang="en-US"/>
            </a:pPr>
            <a:r>
              <a:rPr lang="en-US" sz="1800" b="1" i="0" baseline="0"/>
              <a:t>Alberta</a:t>
            </a:r>
            <a:endParaRPr lang="en-US"/>
          </a:p>
        </c:rich>
      </c:tx>
    </c:title>
    <c:plotArea>
      <c:layout>
        <c:manualLayout>
          <c:layoutTarget val="inner"/>
          <c:xMode val="edge"/>
          <c:yMode val="edge"/>
          <c:x val="5.1321588289159656E-2"/>
          <c:y val="0.21971842789170906"/>
          <c:w val="0.90878990642548574"/>
          <c:h val="0.65239103928875153"/>
        </c:manualLayout>
      </c:layout>
      <c:barChart>
        <c:barDir val="col"/>
        <c:grouping val="clustered"/>
        <c:ser>
          <c:idx val="3"/>
          <c:order val="0"/>
          <c:spPr>
            <a:solidFill>
              <a:schemeClr val="accent1"/>
            </a:solidFill>
          </c:spPr>
          <c:cat>
            <c:strRef>
              <c:f>(Alberta!$A$261:$A$266,Alberta!$A$268:$A$271)</c:f>
              <c:strCache>
                <c:ptCount val="10"/>
                <c:pt idx="0">
                  <c:v>Disability Tax Measures</c:v>
                </c:pt>
                <c:pt idx="1">
                  <c:v>CPP-D</c:v>
                </c:pt>
                <c:pt idx="2">
                  <c:v>EI Sickness</c:v>
                </c:pt>
                <c:pt idx="3">
                  <c:v>Veterans' Disability Pensions &amp; Awards</c:v>
                </c:pt>
                <c:pt idx="4">
                  <c:v>Income Asst. - NETW/BFE</c:v>
                </c:pt>
                <c:pt idx="5">
                  <c:v>First Nations SA for Disabled </c:v>
                </c:pt>
                <c:pt idx="6">
                  <c:v>AISH</c:v>
                </c:pt>
                <c:pt idx="7">
                  <c:v>Total SA, incl. FN and AISH</c:v>
                </c:pt>
                <c:pt idx="8">
                  <c:v>Workers' Compensation </c:v>
                </c:pt>
                <c:pt idx="9">
                  <c:v>Private Disability Insurance</c:v>
                </c:pt>
              </c:strCache>
            </c:strRef>
          </c:cat>
          <c:val>
            <c:numRef>
              <c:f>(Alberta!$E$261:$E$266,Alberta!$E$268:$E$271)</c:f>
              <c:numCache>
                <c:formatCode>0.0%</c:formatCode>
                <c:ptCount val="10"/>
                <c:pt idx="0">
                  <c:v>0.26773689888150781</c:v>
                </c:pt>
                <c:pt idx="1">
                  <c:v>7.8655352480417828E-2</c:v>
                </c:pt>
                <c:pt idx="2">
                  <c:v>0.28796561604584542</c:v>
                </c:pt>
                <c:pt idx="3">
                  <c:v>0.25149315068493155</c:v>
                </c:pt>
                <c:pt idx="4">
                  <c:v>0.36696428571428569</c:v>
                </c:pt>
                <c:pt idx="5">
                  <c:v>0.28066914498141277</c:v>
                </c:pt>
                <c:pt idx="6">
                  <c:v>0.52219935313143195</c:v>
                </c:pt>
                <c:pt idx="7">
                  <c:v>0.46023705210452198</c:v>
                </c:pt>
                <c:pt idx="8">
                  <c:v>4.4806517311608916E-2</c:v>
                </c:pt>
                <c:pt idx="9">
                  <c:v>0.38701298701298703</c:v>
                </c:pt>
              </c:numCache>
            </c:numRef>
          </c:val>
        </c:ser>
        <c:ser>
          <c:idx val="0"/>
          <c:order val="1"/>
          <c:spPr>
            <a:solidFill>
              <a:srgbClr val="92D050"/>
            </a:solidFill>
          </c:spPr>
          <c:cat>
            <c:strRef>
              <c:f>(Alberta!$A$261:$A$266,Alberta!$A$268:$A$271)</c:f>
              <c:strCache>
                <c:ptCount val="10"/>
                <c:pt idx="0">
                  <c:v>Disability Tax Measures</c:v>
                </c:pt>
                <c:pt idx="1">
                  <c:v>CPP-D</c:v>
                </c:pt>
                <c:pt idx="2">
                  <c:v>EI Sickness</c:v>
                </c:pt>
                <c:pt idx="3">
                  <c:v>Veterans' Disability Pensions &amp; Awards</c:v>
                </c:pt>
                <c:pt idx="4">
                  <c:v>Income Asst. - NETW/BFE</c:v>
                </c:pt>
                <c:pt idx="5">
                  <c:v>First Nations SA for Disabled </c:v>
                </c:pt>
                <c:pt idx="6">
                  <c:v>AISH</c:v>
                </c:pt>
                <c:pt idx="7">
                  <c:v>Total SA, incl. FN and AISH</c:v>
                </c:pt>
                <c:pt idx="8">
                  <c:v>Workers' Compensation </c:v>
                </c:pt>
                <c:pt idx="9">
                  <c:v>Private Disability Insurance</c:v>
                </c:pt>
              </c:strCache>
            </c:strRef>
          </c:cat>
          <c:val>
            <c:numRef>
              <c:f>(Alberta!$G$261:$G$266,Alberta!$G$268:$G$271)</c:f>
              <c:numCache>
                <c:formatCode>0.0%</c:formatCode>
                <c:ptCount val="10"/>
                <c:pt idx="0">
                  <c:v>0.36798955317095339</c:v>
                </c:pt>
                <c:pt idx="1">
                  <c:v>0.14817232375979125</c:v>
                </c:pt>
                <c:pt idx="2">
                  <c:v>0.2234957020057308</c:v>
                </c:pt>
                <c:pt idx="3">
                  <c:v>0.29701120797011221</c:v>
                </c:pt>
                <c:pt idx="4">
                  <c:v>0.5178571428571429</c:v>
                </c:pt>
                <c:pt idx="5">
                  <c:v>0.32899628252788116</c:v>
                </c:pt>
                <c:pt idx="6">
                  <c:v>0.58512202293443105</c:v>
                </c:pt>
                <c:pt idx="7">
                  <c:v>0.54074088562040357</c:v>
                </c:pt>
                <c:pt idx="8">
                  <c:v>6.8567549219280335E-2</c:v>
                </c:pt>
                <c:pt idx="9">
                  <c:v>0.50649350649350644</c:v>
                </c:pt>
              </c:numCache>
            </c:numRef>
          </c:val>
        </c:ser>
        <c:dLbls/>
        <c:axId val="141431936"/>
        <c:axId val="141433472"/>
      </c:barChart>
      <c:catAx>
        <c:axId val="141431936"/>
        <c:scaling>
          <c:orientation val="minMax"/>
        </c:scaling>
        <c:axPos val="b"/>
        <c:majorTickMark val="none"/>
        <c:tickLblPos val="nextTo"/>
        <c:txPr>
          <a:bodyPr/>
          <a:lstStyle/>
          <a:p>
            <a:pPr>
              <a:defRPr lang="en-US" sz="1000" b="1" i="0" baseline="0"/>
            </a:pPr>
            <a:endParaRPr lang="en-US"/>
          </a:p>
        </c:txPr>
        <c:crossAx val="141433472"/>
        <c:crosses val="autoZero"/>
        <c:auto val="1"/>
        <c:lblAlgn val="ctr"/>
        <c:lblOffset val="100"/>
      </c:catAx>
      <c:valAx>
        <c:axId val="141433472"/>
        <c:scaling>
          <c:orientation val="minMax"/>
        </c:scaling>
        <c:axPos val="l"/>
        <c:majorGridlines/>
        <c:numFmt formatCode="0%" sourceLinked="0"/>
        <c:majorTickMark val="none"/>
        <c:tickLblPos val="nextTo"/>
        <c:txPr>
          <a:bodyPr/>
          <a:lstStyle/>
          <a:p>
            <a:pPr>
              <a:defRPr lang="en-US"/>
            </a:pPr>
            <a:endParaRPr lang="en-US"/>
          </a:p>
        </c:txPr>
        <c:crossAx val="141431936"/>
        <c:crosses val="autoZero"/>
        <c:crossBetween val="between"/>
      </c:valAx>
    </c:plotArea>
    <c:plotVisOnly val="1"/>
    <c:dispBlanksAs val="gap"/>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CA"/>
  <c:chart>
    <c:title>
      <c:tx>
        <c:rich>
          <a:bodyPr/>
          <a:lstStyle/>
          <a:p>
            <a:pPr algn="ctr">
              <a:defRPr lang="en-US"/>
            </a:pPr>
            <a:r>
              <a:rPr lang="en-US"/>
              <a:t>ESTIMATED BENEFIT EXPENDITURES FOR PERSONS WITH DISABILITIES 
CANADA, 2005 
$23.2 B</a:t>
            </a:r>
          </a:p>
        </c:rich>
      </c:tx>
      <c:layout>
        <c:manualLayout>
          <c:xMode val="edge"/>
          <c:yMode val="edge"/>
          <c:x val="0.11294117647058829"/>
          <c:y val="8.7003806416530716E-3"/>
        </c:manualLayout>
      </c:layout>
    </c:title>
    <c:plotArea>
      <c:layout>
        <c:manualLayout>
          <c:layoutTarget val="inner"/>
          <c:xMode val="edge"/>
          <c:yMode val="edge"/>
          <c:x val="0.24047354790972988"/>
          <c:y val="0.20282762370853599"/>
          <c:w val="0.48242693303737011"/>
          <c:h val="0.70908102229473091"/>
        </c:manualLayout>
      </c:layout>
      <c:pieChart>
        <c:varyColors val="1"/>
        <c:ser>
          <c:idx val="0"/>
          <c:order val="0"/>
          <c:dLbls>
            <c:dLbl>
              <c:idx val="0"/>
              <c:layout>
                <c:manualLayout>
                  <c:x val="0.18218334250948953"/>
                  <c:y val="0.10043082298236375"/>
                </c:manualLayout>
              </c:layout>
              <c:tx>
                <c:rich>
                  <a:bodyPr/>
                  <a:lstStyle/>
                  <a:p>
                    <a:r>
                      <a:rPr lang="en-US" sz="1400" b="1" baseline="0"/>
                      <a:t>D</a:t>
                    </a:r>
                    <a:r>
                      <a:rPr lang="en-US"/>
                      <a:t>isability Tax Measures
$1.7 B</a:t>
                    </a:r>
                  </a:p>
                </c:rich>
              </c:tx>
              <c:dLblPos val="bestFit"/>
            </c:dLbl>
            <c:dLbl>
              <c:idx val="1"/>
              <c:layout>
                <c:manualLayout>
                  <c:x val="-0.15786600481821036"/>
                  <c:y val="0.13162802447410218"/>
                </c:manualLayout>
              </c:layout>
              <c:tx>
                <c:rich>
                  <a:bodyPr/>
                  <a:lstStyle/>
                  <a:p>
                    <a:r>
                      <a:rPr lang="en-US" sz="1400" b="1" baseline="0"/>
                      <a:t>C</a:t>
                    </a:r>
                    <a:r>
                      <a:rPr lang="en-US"/>
                      <a:t>PP-D &amp; QPP-D
$3.8 B</a:t>
                    </a:r>
                  </a:p>
                </c:rich>
              </c:tx>
              <c:dLblPos val="bestFit"/>
            </c:dLbl>
            <c:dLbl>
              <c:idx val="2"/>
              <c:layout>
                <c:manualLayout>
                  <c:x val="5.2072442110108093E-2"/>
                  <c:y val="-2.5878494388853967E-4"/>
                </c:manualLayout>
              </c:layout>
              <c:tx>
                <c:rich>
                  <a:bodyPr/>
                  <a:lstStyle/>
                  <a:p>
                    <a:r>
                      <a:rPr lang="en-US" sz="1400" b="1" baseline="0"/>
                      <a:t>E</a:t>
                    </a:r>
                    <a:r>
                      <a:rPr lang="en-US"/>
                      <a:t>I Sickness
$0.9 B</a:t>
                    </a:r>
                  </a:p>
                </c:rich>
              </c:tx>
            </c:dLbl>
            <c:dLbl>
              <c:idx val="3"/>
              <c:layout>
                <c:manualLayout>
                  <c:x val="2.4271544303354996E-2"/>
                  <c:y val="6.5990331958913129E-2"/>
                </c:manualLayout>
              </c:layout>
              <c:tx>
                <c:rich>
                  <a:bodyPr/>
                  <a:lstStyle/>
                  <a:p>
                    <a:r>
                      <a:rPr lang="en-US" sz="1400" b="1" baseline="0"/>
                      <a:t>V</a:t>
                    </a:r>
                    <a:r>
                      <a:rPr lang="en-US"/>
                      <a:t>eterans' Disability Pensions
$1.6 B</a:t>
                    </a:r>
                  </a:p>
                </c:rich>
              </c:tx>
              <c:dLblPos val="bestFit"/>
            </c:dLbl>
            <c:dLbl>
              <c:idx val="4"/>
              <c:layout>
                <c:manualLayout>
                  <c:x val="-6.2755934642464914E-2"/>
                  <c:y val="-0.13792227031979892"/>
                </c:manualLayout>
              </c:layout>
              <c:tx>
                <c:rich>
                  <a:bodyPr/>
                  <a:lstStyle/>
                  <a:p>
                    <a:r>
                      <a:rPr lang="en-US" sz="1400" b="1" baseline="0"/>
                      <a:t>S</a:t>
                    </a:r>
                    <a:r>
                      <a:rPr lang="en-US"/>
                      <a:t>ocial Assistance Benefits 
for Persons</a:t>
                    </a:r>
                    <a:r>
                      <a:rPr lang="en-US" baseline="0"/>
                      <a:t> with Disabilities</a:t>
                    </a:r>
                    <a:r>
                      <a:rPr lang="en-US"/>
                      <a:t>
$6.0 B</a:t>
                    </a:r>
                  </a:p>
                </c:rich>
              </c:tx>
            </c:dLbl>
            <c:dLbl>
              <c:idx val="5"/>
              <c:layout>
                <c:manualLayout>
                  <c:x val="0.19697169374360937"/>
                  <c:y val="-6.3610572332618312E-2"/>
                </c:manualLayout>
              </c:layout>
              <c:tx>
                <c:rich>
                  <a:bodyPr/>
                  <a:lstStyle/>
                  <a:p>
                    <a:r>
                      <a:rPr lang="en-US" sz="1400" b="1" baseline="0"/>
                      <a:t>W</a:t>
                    </a:r>
                    <a:r>
                      <a:rPr lang="en-US"/>
                      <a:t>orker's Compensation
$4.8 B </a:t>
                    </a:r>
                  </a:p>
                </c:rich>
              </c:tx>
            </c:dLbl>
            <c:dLbl>
              <c:idx val="6"/>
              <c:layout>
                <c:manualLayout>
                  <c:x val="0.13249984706406728"/>
                  <c:y val="0.19882168073199671"/>
                </c:manualLayout>
              </c:layout>
              <c:tx>
                <c:rich>
                  <a:bodyPr/>
                  <a:lstStyle/>
                  <a:p>
                    <a:r>
                      <a:rPr lang="en-US" sz="1400" b="1" baseline="0"/>
                      <a:t>P</a:t>
                    </a:r>
                    <a:r>
                      <a:rPr lang="en-US"/>
                      <a:t>rivate Disability</a:t>
                    </a:r>
                  </a:p>
                  <a:p>
                    <a:r>
                      <a:rPr lang="en-US"/>
                      <a:t> Insurance
$4.5 B</a:t>
                    </a:r>
                  </a:p>
                </c:rich>
              </c:tx>
            </c:dLbl>
            <c:txPr>
              <a:bodyPr/>
              <a:lstStyle/>
              <a:p>
                <a:pPr>
                  <a:defRPr lang="en-US" sz="1400" b="1" baseline="0"/>
                </a:pPr>
                <a:endParaRPr lang="en-US"/>
              </a:p>
            </c:txPr>
            <c:showCatName val="1"/>
            <c:showLeaderLines val="1"/>
          </c:dLbls>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2013-14'!$B$43:$B$49</c:f>
              <c:numCache>
                <c:formatCode>#,##0.0</c:formatCode>
                <c:ptCount val="7"/>
                <c:pt idx="0">
                  <c:v>1710</c:v>
                </c:pt>
                <c:pt idx="1">
                  <c:v>3779.8</c:v>
                </c:pt>
                <c:pt idx="2">
                  <c:v>859.2</c:v>
                </c:pt>
                <c:pt idx="3">
                  <c:v>1656</c:v>
                </c:pt>
                <c:pt idx="4">
                  <c:v>5957.2500000000009</c:v>
                </c:pt>
                <c:pt idx="5">
                  <c:v>4836.8</c:v>
                </c:pt>
                <c:pt idx="6">
                  <c:v>4449</c:v>
                </c:pt>
              </c:numCache>
            </c:numRef>
          </c:val>
        </c:ser>
        <c:dLbls>
          <c:showCatName val="1"/>
        </c:dLbls>
        <c:firstSliceAng val="0"/>
      </c:pieChart>
    </c:plotArea>
    <c:plotVisOnly val="1"/>
    <c:dispBlanksAs val="zero"/>
  </c:chart>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a:t>
            </a:r>
            <a:endParaRPr lang="en-CA"/>
          </a:p>
          <a:p>
            <a:pPr>
              <a:defRPr/>
            </a:pPr>
            <a:r>
              <a:rPr lang="en-US" sz="1800" b="1" i="0" baseline="0"/>
              <a:t>PERCENTAGE INCREASE FROM 2005-06 TO </a:t>
            </a:r>
            <a:endParaRPr lang="en-CA"/>
          </a:p>
          <a:p>
            <a:pPr>
              <a:defRPr/>
            </a:pPr>
            <a:r>
              <a:rPr lang="en-US" sz="1800" b="1" i="0" baseline="0"/>
              <a:t>2009-10, 2010-11 AND 2011-12</a:t>
            </a:r>
          </a:p>
          <a:p>
            <a:pPr>
              <a:defRPr/>
            </a:pPr>
            <a:r>
              <a:rPr lang="en-US" sz="1800" b="1" i="0" baseline="0"/>
              <a:t>ALBERTA</a:t>
            </a:r>
            <a:endParaRPr lang="en-CA"/>
          </a:p>
        </c:rich>
      </c:tx>
    </c:title>
    <c:plotArea>
      <c:layout>
        <c:manualLayout>
          <c:layoutTarget val="inner"/>
          <c:xMode val="edge"/>
          <c:yMode val="edge"/>
          <c:x val="7.2738451446112837E-2"/>
          <c:y val="0.24212675609704948"/>
          <c:w val="0.9243321412721599"/>
          <c:h val="0.71109244535898564"/>
        </c:manualLayout>
      </c:layout>
      <c:barChart>
        <c:barDir val="col"/>
        <c:grouping val="clustered"/>
        <c:ser>
          <c:idx val="3"/>
          <c:order val="0"/>
          <c:tx>
            <c:strRef>
              <c:f>Alberta!$E$281</c:f>
              <c:strCache>
                <c:ptCount val="1"/>
                <c:pt idx="0">
                  <c:v>2009-10</c:v>
                </c:pt>
              </c:strCache>
            </c:strRef>
          </c:tx>
          <c:spPr>
            <a:solidFill>
              <a:schemeClr val="accent1"/>
            </a:solidFill>
          </c:spPr>
          <c:dLbls>
            <c:dLbl>
              <c:idx val="1"/>
              <c:layout>
                <c:manualLayout>
                  <c:x val="-5.3705179758089715E-17"/>
                  <c:y val="-6.0530418044355931E-3"/>
                </c:manualLayout>
              </c:layout>
              <c:showVal val="1"/>
            </c:dLbl>
            <c:txPr>
              <a:bodyPr/>
              <a:lstStyle/>
              <a:p>
                <a:pPr>
                  <a:defRPr sz="1400" b="1"/>
                </a:pPr>
                <a:endParaRPr lang="en-US"/>
              </a:p>
            </c:txPr>
            <c:showVal val="1"/>
          </c:dLbls>
          <c:cat>
            <c:strRef>
              <c:f>Alberta!$A$282:$A$284</c:f>
              <c:strCache>
                <c:ptCount val="3"/>
                <c:pt idx="0">
                  <c:v>Income Assistance, First Nations SA and AISH</c:v>
                </c:pt>
                <c:pt idx="1">
                  <c:v>Total Income Support for the Disabled</c:v>
                </c:pt>
                <c:pt idx="2">
                  <c:v>Total Income Support for the Disabled excl. IAD, FIRST NATIONS SA &amp; AISH</c:v>
                </c:pt>
              </c:strCache>
            </c:strRef>
          </c:cat>
          <c:val>
            <c:numRef>
              <c:f>Alberta!$E$282:$E$284</c:f>
              <c:numCache>
                <c:formatCode>0.0%</c:formatCode>
                <c:ptCount val="3"/>
                <c:pt idx="0">
                  <c:v>0.46023705210452198</c:v>
                </c:pt>
                <c:pt idx="1">
                  <c:v>0.27799848724400023</c:v>
                </c:pt>
                <c:pt idx="2">
                  <c:v>0.21108794783595317</c:v>
                </c:pt>
              </c:numCache>
            </c:numRef>
          </c:val>
        </c:ser>
        <c:ser>
          <c:idx val="0"/>
          <c:order val="1"/>
          <c:tx>
            <c:strRef>
              <c:f>Alberta!$G$281</c:f>
              <c:strCache>
                <c:ptCount val="1"/>
                <c:pt idx="0">
                  <c:v>2010-11</c:v>
                </c:pt>
              </c:strCache>
            </c:strRef>
          </c:tx>
          <c:spPr>
            <a:solidFill>
              <a:srgbClr val="92D050"/>
            </a:solidFill>
          </c:spPr>
          <c:dLbls>
            <c:dLbl>
              <c:idx val="2"/>
              <c:layout>
                <c:manualLayout>
                  <c:x val="0"/>
                  <c:y val="-1.6141444811828203E-2"/>
                </c:manualLayout>
              </c:layout>
              <c:showVal val="1"/>
            </c:dLbl>
            <c:txPr>
              <a:bodyPr/>
              <a:lstStyle/>
              <a:p>
                <a:pPr>
                  <a:defRPr sz="1400" b="1"/>
                </a:pPr>
                <a:endParaRPr lang="en-US"/>
              </a:p>
            </c:txPr>
            <c:showVal val="1"/>
          </c:dLbls>
          <c:cat>
            <c:strRef>
              <c:f>Alberta!$A$282:$A$284</c:f>
              <c:strCache>
                <c:ptCount val="3"/>
                <c:pt idx="0">
                  <c:v>Income Assistance, First Nations SA and AISH</c:v>
                </c:pt>
                <c:pt idx="1">
                  <c:v>Total Income Support for the Disabled</c:v>
                </c:pt>
                <c:pt idx="2">
                  <c:v>Total Income Support for the Disabled excl. IAD, FIRST NATIONS SA &amp; AISH</c:v>
                </c:pt>
              </c:strCache>
            </c:strRef>
          </c:cat>
          <c:val>
            <c:numRef>
              <c:f>Alberta!$G$282:$G$284</c:f>
              <c:numCache>
                <c:formatCode>0.0%</c:formatCode>
                <c:ptCount val="3"/>
                <c:pt idx="0">
                  <c:v>0.54074088562040357</c:v>
                </c:pt>
                <c:pt idx="1">
                  <c:v>0.3493962107563256</c:v>
                </c:pt>
                <c:pt idx="2">
                  <c:v>0.27914228059718654</c:v>
                </c:pt>
              </c:numCache>
            </c:numRef>
          </c:val>
        </c:ser>
        <c:ser>
          <c:idx val="1"/>
          <c:order val="2"/>
          <c:tx>
            <c:strRef>
              <c:f>Alberta!$I$281</c:f>
              <c:strCache>
                <c:ptCount val="1"/>
                <c:pt idx="0">
                  <c:v>2011-12</c:v>
                </c:pt>
              </c:strCache>
            </c:strRef>
          </c:tx>
          <c:spPr>
            <a:solidFill>
              <a:srgbClr val="F79646">
                <a:lumMod val="75000"/>
              </a:srgbClr>
            </a:solidFill>
          </c:spPr>
          <c:dLbls>
            <c:txPr>
              <a:bodyPr/>
              <a:lstStyle/>
              <a:p>
                <a:pPr>
                  <a:defRPr sz="1400" b="1"/>
                </a:pPr>
                <a:endParaRPr lang="en-US"/>
              </a:p>
            </c:txPr>
            <c:showVal val="1"/>
          </c:dLbls>
          <c:cat>
            <c:strRef>
              <c:f>Alberta!$A$282:$A$284</c:f>
              <c:strCache>
                <c:ptCount val="3"/>
                <c:pt idx="0">
                  <c:v>Income Assistance, First Nations SA and AISH</c:v>
                </c:pt>
                <c:pt idx="1">
                  <c:v>Total Income Support for the Disabled</c:v>
                </c:pt>
                <c:pt idx="2">
                  <c:v>Total Income Support for the Disabled excl. IAD, FIRST NATIONS SA &amp; AISH</c:v>
                </c:pt>
              </c:strCache>
            </c:strRef>
          </c:cat>
          <c:val>
            <c:numRef>
              <c:f>Alberta!$I$282:$I$284</c:f>
              <c:numCache>
                <c:formatCode>0.0%</c:formatCode>
                <c:ptCount val="3"/>
                <c:pt idx="0">
                  <c:v>0.64020693162259423</c:v>
                </c:pt>
                <c:pt idx="1">
                  <c:v>0.43041353916619834</c:v>
                </c:pt>
                <c:pt idx="2">
                  <c:v>0.35338599527478759</c:v>
                </c:pt>
              </c:numCache>
            </c:numRef>
          </c:val>
        </c:ser>
        <c:dLbls/>
        <c:gapWidth val="75"/>
        <c:axId val="141506048"/>
        <c:axId val="141507584"/>
      </c:barChart>
      <c:catAx>
        <c:axId val="141506048"/>
        <c:scaling>
          <c:orientation val="minMax"/>
        </c:scaling>
        <c:delete val="1"/>
        <c:axPos val="b"/>
        <c:majorTickMark val="none"/>
        <c:tickLblPos val="none"/>
        <c:crossAx val="141507584"/>
        <c:crosses val="autoZero"/>
        <c:auto val="1"/>
        <c:lblAlgn val="ctr"/>
        <c:lblOffset val="100"/>
      </c:catAx>
      <c:valAx>
        <c:axId val="141507584"/>
        <c:scaling>
          <c:orientation val="minMax"/>
        </c:scaling>
        <c:axPos val="l"/>
        <c:majorGridlines/>
        <c:numFmt formatCode="0%" sourceLinked="0"/>
        <c:majorTickMark val="none"/>
        <c:tickLblPos val="nextTo"/>
        <c:crossAx val="141506048"/>
        <c:crosses val="autoZero"/>
        <c:crossBetween val="between"/>
      </c:valAx>
    </c:plotArea>
    <c:legend>
      <c:legendPos val="b"/>
      <c:layout>
        <c:manualLayout>
          <c:xMode val="edge"/>
          <c:yMode val="edge"/>
          <c:x val="0.28170633591582656"/>
          <c:y val="0.95140837283432966"/>
          <c:w val="0.46881080826729754"/>
          <c:h val="3.6485543556799428E-2"/>
        </c:manualLayout>
      </c:layout>
      <c:txPr>
        <a:bodyPr/>
        <a:lstStyle/>
        <a:p>
          <a:pPr>
            <a:defRPr sz="1400" b="1"/>
          </a:pPr>
          <a:endParaRPr lang="en-US"/>
        </a:p>
      </c:txPr>
    </c:legend>
    <c:plotVisOnly val="1"/>
    <c:dispBlanksAs val="gap"/>
  </c:chart>
  <c:userShapes r:id="rId1"/>
</c:chartSpace>
</file>

<file path=xl/charts/chart7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a:t>
            </a:r>
          </a:p>
          <a:p>
            <a:pPr>
              <a:defRPr lang="en-US"/>
            </a:pPr>
            <a:r>
              <a:rPr lang="en-US" sz="1800" b="1" i="0" baseline="0"/>
              <a:t>2009-10 AND 2010-11</a:t>
            </a:r>
            <a:endParaRPr lang="en-US"/>
          </a:p>
          <a:p>
            <a:pPr>
              <a:defRPr lang="en-US"/>
            </a:pPr>
            <a:r>
              <a:rPr lang="en-US" sz="1800" b="1" i="0" baseline="0"/>
              <a:t>ALBERTA</a:t>
            </a:r>
          </a:p>
        </c:rich>
      </c:tx>
    </c:title>
    <c:plotArea>
      <c:layout>
        <c:manualLayout>
          <c:layoutTarget val="inner"/>
          <c:xMode val="edge"/>
          <c:yMode val="edge"/>
          <c:x val="6.4493794312143846E-2"/>
          <c:y val="0.21770270909432263"/>
          <c:w val="0.93550620568785758"/>
          <c:h val="0.68516900770449063"/>
        </c:manualLayout>
      </c:layout>
      <c:barChart>
        <c:barDir val="col"/>
        <c:grouping val="clustered"/>
        <c:ser>
          <c:idx val="0"/>
          <c:order val="0"/>
          <c:tx>
            <c:strRef>
              <c:f>Alberta!$E$281</c:f>
              <c:strCache>
                <c:ptCount val="1"/>
                <c:pt idx="0">
                  <c:v>2009-10</c:v>
                </c:pt>
              </c:strCache>
            </c:strRef>
          </c:tx>
          <c:dLbls>
            <c:dLbl>
              <c:idx val="1"/>
              <c:layout>
                <c:manualLayout>
                  <c:x val="1.4635784469980641E-3"/>
                  <c:y val="-1.4110031581710735E-2"/>
                </c:manualLayout>
              </c:layout>
              <c:showVal val="1"/>
            </c:dLbl>
            <c:txPr>
              <a:bodyPr/>
              <a:lstStyle/>
              <a:p>
                <a:pPr>
                  <a:defRPr lang="en-US" sz="1400" b="1" i="0" baseline="0"/>
                </a:pPr>
                <a:endParaRPr lang="en-US"/>
              </a:p>
            </c:txPr>
            <c:showVal val="1"/>
          </c:dLbls>
          <c:cat>
            <c:strRef>
              <c:f>Alberta!$A$282:$A$284</c:f>
              <c:strCache>
                <c:ptCount val="3"/>
                <c:pt idx="0">
                  <c:v>Income Assistance, First Nations SA and AISH</c:v>
                </c:pt>
                <c:pt idx="1">
                  <c:v>Total Income Support for the Disabled</c:v>
                </c:pt>
                <c:pt idx="2">
                  <c:v>Total Income Support for the Disabled excl. IAD, FIRST NATIONS SA &amp; AISH</c:v>
                </c:pt>
              </c:strCache>
            </c:strRef>
          </c:cat>
          <c:val>
            <c:numRef>
              <c:f>Alberta!$E$282:$E$284</c:f>
              <c:numCache>
                <c:formatCode>0.0%</c:formatCode>
                <c:ptCount val="3"/>
                <c:pt idx="0">
                  <c:v>0.46023705210452198</c:v>
                </c:pt>
                <c:pt idx="1">
                  <c:v>0.27799848724400023</c:v>
                </c:pt>
                <c:pt idx="2">
                  <c:v>0.21108794783595317</c:v>
                </c:pt>
              </c:numCache>
            </c:numRef>
          </c:val>
        </c:ser>
        <c:ser>
          <c:idx val="1"/>
          <c:order val="1"/>
          <c:tx>
            <c:strRef>
              <c:f>Alberta!$G$281</c:f>
              <c:strCache>
                <c:ptCount val="1"/>
                <c:pt idx="0">
                  <c:v>2010-11</c:v>
                </c:pt>
              </c:strCache>
            </c:strRef>
          </c:tx>
          <c:spPr>
            <a:solidFill>
              <a:schemeClr val="accent3"/>
            </a:solidFill>
          </c:spPr>
          <c:dLbls>
            <c:dLbl>
              <c:idx val="2"/>
              <c:layout>
                <c:manualLayout>
                  <c:x val="1.4635784469980641E-3"/>
                  <c:y val="-1.6125750379098063E-2"/>
                </c:manualLayout>
              </c:layout>
              <c:showVal val="1"/>
            </c:dLbl>
            <c:txPr>
              <a:bodyPr/>
              <a:lstStyle/>
              <a:p>
                <a:pPr>
                  <a:defRPr lang="en-US" sz="1400" b="1" i="0" baseline="0"/>
                </a:pPr>
                <a:endParaRPr lang="en-US"/>
              </a:p>
            </c:txPr>
            <c:showVal val="1"/>
          </c:dLbls>
          <c:cat>
            <c:strRef>
              <c:f>Alberta!$A$282:$A$284</c:f>
              <c:strCache>
                <c:ptCount val="3"/>
                <c:pt idx="0">
                  <c:v>Income Assistance, First Nations SA and AISH</c:v>
                </c:pt>
                <c:pt idx="1">
                  <c:v>Total Income Support for the Disabled</c:v>
                </c:pt>
                <c:pt idx="2">
                  <c:v>Total Income Support for the Disabled excl. IAD, FIRST NATIONS SA &amp; AISH</c:v>
                </c:pt>
              </c:strCache>
            </c:strRef>
          </c:cat>
          <c:val>
            <c:numRef>
              <c:f>Alberta!$G$282:$G$284</c:f>
              <c:numCache>
                <c:formatCode>0.0%</c:formatCode>
                <c:ptCount val="3"/>
                <c:pt idx="0">
                  <c:v>0.54074088562040357</c:v>
                </c:pt>
                <c:pt idx="1">
                  <c:v>0.3493962107563256</c:v>
                </c:pt>
                <c:pt idx="2">
                  <c:v>0.27914228059718654</c:v>
                </c:pt>
              </c:numCache>
            </c:numRef>
          </c:val>
        </c:ser>
        <c:dLbls/>
        <c:gapWidth val="75"/>
        <c:axId val="142295808"/>
        <c:axId val="142297344"/>
      </c:barChart>
      <c:catAx>
        <c:axId val="142295808"/>
        <c:scaling>
          <c:orientation val="minMax"/>
        </c:scaling>
        <c:delete val="1"/>
        <c:axPos val="b"/>
        <c:majorTickMark val="none"/>
        <c:tickLblPos val="none"/>
        <c:crossAx val="142297344"/>
        <c:crosses val="autoZero"/>
        <c:auto val="1"/>
        <c:lblAlgn val="ctr"/>
        <c:lblOffset val="100"/>
      </c:catAx>
      <c:valAx>
        <c:axId val="142297344"/>
        <c:scaling>
          <c:orientation val="minMax"/>
        </c:scaling>
        <c:axPos val="l"/>
        <c:majorGridlines/>
        <c:numFmt formatCode="0%" sourceLinked="0"/>
        <c:majorTickMark val="none"/>
        <c:tickLblPos val="nextTo"/>
        <c:txPr>
          <a:bodyPr/>
          <a:lstStyle/>
          <a:p>
            <a:pPr>
              <a:defRPr lang="en-US"/>
            </a:pPr>
            <a:endParaRPr lang="en-US"/>
          </a:p>
        </c:txPr>
        <c:crossAx val="142295808"/>
        <c:crosses val="autoZero"/>
        <c:crossBetween val="between"/>
      </c:valAx>
    </c:plotArea>
    <c:legend>
      <c:legendPos val="b"/>
      <c:layout>
        <c:manualLayout>
          <c:xMode val="edge"/>
          <c:yMode val="edge"/>
          <c:x val="0.34386084157835423"/>
          <c:y val="0.9417074757137629"/>
          <c:w val="0.3474041995712559"/>
          <c:h val="4.6198211501913833E-2"/>
        </c:manualLayout>
      </c:layout>
      <c:txPr>
        <a:bodyPr/>
        <a:lstStyle/>
        <a:p>
          <a:pPr>
            <a:defRPr lang="en-US" sz="1400" b="1" i="0" baseline="0"/>
          </a:pPr>
          <a:endParaRPr lang="en-US"/>
        </a:p>
      </c:txPr>
    </c:legend>
    <c:plotVisOnly val="1"/>
    <c:dispBlanksAs val="gap"/>
  </c:chart>
  <c:userShapes r:id="rId1"/>
</c:chartSpace>
</file>

<file path=xl/charts/chart7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PERSONS WITH DISABILITIES:</a:t>
            </a:r>
          </a:p>
          <a:p>
            <a:pPr>
              <a:defRPr lang="en-US"/>
            </a:pPr>
            <a:r>
              <a:rPr lang="en-US" sz="1800" b="1" i="0" baseline="0"/>
              <a:t>PERCENTAGE CHANGE FROM 2005 TO 2013</a:t>
            </a:r>
          </a:p>
          <a:p>
            <a:pPr>
              <a:defRPr lang="en-US"/>
            </a:pPr>
            <a:r>
              <a:rPr lang="en-US" sz="1800" b="1" i="0" baseline="0"/>
              <a:t>ALBERTA</a:t>
            </a:r>
            <a:endParaRPr lang="en-US"/>
          </a:p>
        </c:rich>
      </c:tx>
      <c:layout>
        <c:manualLayout>
          <c:xMode val="edge"/>
          <c:yMode val="edge"/>
          <c:x val="0.22658891031629241"/>
          <c:y val="4.0314375947745991E-3"/>
        </c:manualLayout>
      </c:layout>
    </c:title>
    <c:plotArea>
      <c:layout>
        <c:manualLayout>
          <c:layoutTarget val="inner"/>
          <c:xMode val="edge"/>
          <c:yMode val="edge"/>
          <c:x val="7.2682573344295523E-2"/>
          <c:y val="0.15325017990687059"/>
          <c:w val="0.92439026976170857"/>
          <c:h val="0.75593835519250763"/>
        </c:manualLayout>
      </c:layout>
      <c:barChart>
        <c:barDir val="col"/>
        <c:grouping val="clustered"/>
        <c:ser>
          <c:idx val="2"/>
          <c:order val="0"/>
          <c:spPr>
            <a:solidFill>
              <a:schemeClr val="accent6"/>
            </a:solidFill>
          </c:spPr>
          <c:dLbls>
            <c:dLbl>
              <c:idx val="0"/>
              <c:layout>
                <c:manualLayout>
                  <c:x val="0"/>
                  <c:y val="-4.0314375947745592E-3"/>
                </c:manualLayout>
              </c:layout>
              <c:showVal val="1"/>
            </c:dLbl>
            <c:txPr>
              <a:bodyPr/>
              <a:lstStyle/>
              <a:p>
                <a:pPr>
                  <a:defRPr lang="en-US" sz="1400" b="1" i="0" baseline="0"/>
                </a:pPr>
                <a:endParaRPr lang="en-US"/>
              </a:p>
            </c:txPr>
            <c:showVal val="1"/>
          </c:dLbls>
          <c:cat>
            <c:strRef>
              <c:f>(Alberta!$A$275,Alberta!$A$278:$A$279)</c:f>
              <c:strCache>
                <c:ptCount val="3"/>
                <c:pt idx="0">
                  <c:v>Income Assistance, First Nations SA and AISH</c:v>
                </c:pt>
                <c:pt idx="1">
                  <c:v>Total Income Support for the Disabled</c:v>
                </c:pt>
                <c:pt idx="2">
                  <c:v>Total Income Support for the Disabled excl. IAD, FIRST NATIONS SA &amp; AISH</c:v>
                </c:pt>
              </c:strCache>
            </c:strRef>
          </c:cat>
          <c:val>
            <c:numRef>
              <c:f>(Alberta!$M$275,Alberta!$M$278:$M$279)</c:f>
              <c:numCache>
                <c:formatCode>0.0%</c:formatCode>
                <c:ptCount val="3"/>
                <c:pt idx="0">
                  <c:v>1.2569629166014709</c:v>
                </c:pt>
                <c:pt idx="1">
                  <c:v>0.69066516616679186</c:v>
                </c:pt>
                <c:pt idx="2">
                  <c:v>0.4827438188046218</c:v>
                </c:pt>
              </c:numCache>
            </c:numRef>
          </c:val>
        </c:ser>
        <c:dLbls/>
        <c:gapWidth val="50"/>
        <c:overlap val="-50"/>
        <c:axId val="142359168"/>
        <c:axId val="142360960"/>
      </c:barChart>
      <c:catAx>
        <c:axId val="142359168"/>
        <c:scaling>
          <c:orientation val="minMax"/>
        </c:scaling>
        <c:delete val="1"/>
        <c:axPos val="b"/>
        <c:majorTickMark val="none"/>
        <c:tickLblPos val="none"/>
        <c:crossAx val="142360960"/>
        <c:crosses val="autoZero"/>
        <c:auto val="1"/>
        <c:lblAlgn val="ctr"/>
        <c:lblOffset val="100"/>
      </c:catAx>
      <c:valAx>
        <c:axId val="142360960"/>
        <c:scaling>
          <c:orientation val="minMax"/>
        </c:scaling>
        <c:axPos val="l"/>
        <c:majorGridlines/>
        <c:numFmt formatCode="0%" sourceLinked="0"/>
        <c:majorTickMark val="none"/>
        <c:tickLblPos val="nextTo"/>
        <c:txPr>
          <a:bodyPr/>
          <a:lstStyle/>
          <a:p>
            <a:pPr>
              <a:defRPr lang="en-US"/>
            </a:pPr>
            <a:endParaRPr lang="en-US"/>
          </a:p>
        </c:txPr>
        <c:crossAx val="142359168"/>
        <c:crosses val="autoZero"/>
        <c:crossBetween val="between"/>
      </c:valAx>
    </c:plotArea>
    <c:plotVisOnly val="1"/>
    <c:dispBlanksAs val="gap"/>
  </c:chart>
  <c:userShapes r:id="rId1"/>
</c:chartSpace>
</file>

<file path=xl/charts/chart7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2009-10</a:t>
            </a:r>
            <a:endParaRPr lang="en-US"/>
          </a:p>
          <a:p>
            <a:pPr>
              <a:defRPr lang="en-US"/>
            </a:pPr>
            <a:r>
              <a:rPr lang="en-US" sz="1800" b="1" i="0" baseline="0"/>
              <a:t>ALBERTA</a:t>
            </a:r>
            <a:endParaRPr lang="en-US"/>
          </a:p>
        </c:rich>
      </c:tx>
    </c:title>
    <c:plotArea>
      <c:layout>
        <c:manualLayout>
          <c:layoutTarget val="inner"/>
          <c:xMode val="edge"/>
          <c:yMode val="edge"/>
          <c:x val="7.5609730238291414E-2"/>
          <c:y val="0.17139164908335586"/>
          <c:w val="0.92439026976170857"/>
          <c:h val="0.73907678809335542"/>
        </c:manualLayout>
      </c:layout>
      <c:barChart>
        <c:barDir val="col"/>
        <c:grouping val="clustered"/>
        <c:ser>
          <c:idx val="3"/>
          <c:order val="0"/>
          <c:spPr>
            <a:solidFill>
              <a:schemeClr val="accent1"/>
            </a:solidFill>
          </c:spPr>
          <c:dLbls>
            <c:dLbl>
              <c:idx val="1"/>
              <c:layout>
                <c:manualLayout>
                  <c:x val="1.4635784469980641E-3"/>
                  <c:y val="6.0471563921617524E-3"/>
                </c:manualLayout>
              </c:layout>
              <c:showVal val="1"/>
            </c:dLbl>
            <c:dLbl>
              <c:idx val="2"/>
              <c:layout>
                <c:manualLayout>
                  <c:x val="0"/>
                  <c:y val="8.0628751895490246E-3"/>
                </c:manualLayout>
              </c:layout>
              <c:showVal val="1"/>
            </c:dLbl>
            <c:txPr>
              <a:bodyPr/>
              <a:lstStyle/>
              <a:p>
                <a:pPr>
                  <a:defRPr lang="en-US" sz="1400" b="1" i="0" baseline="0"/>
                </a:pPr>
                <a:endParaRPr lang="en-US"/>
              </a:p>
            </c:txPr>
            <c:showVal val="1"/>
          </c:dLbls>
          <c:cat>
            <c:strRef>
              <c:f>(Alberta!$A$275,Alberta!$A$278:$A$279)</c:f>
              <c:strCache>
                <c:ptCount val="3"/>
                <c:pt idx="0">
                  <c:v>Income Assistance, First Nations SA and AISH</c:v>
                </c:pt>
                <c:pt idx="1">
                  <c:v>Total Income Support for the Disabled</c:v>
                </c:pt>
                <c:pt idx="2">
                  <c:v>Total Income Support for the Disabled excl. IAD, FIRST NATIONS SA &amp; AISH</c:v>
                </c:pt>
              </c:strCache>
            </c:strRef>
          </c:cat>
          <c:val>
            <c:numRef>
              <c:f>(Alberta!$E$275,Alberta!$E$278:$E$279)</c:f>
              <c:numCache>
                <c:formatCode>0.0%</c:formatCode>
                <c:ptCount val="3"/>
                <c:pt idx="0">
                  <c:v>0.46023705210452198</c:v>
                </c:pt>
                <c:pt idx="1">
                  <c:v>0.27799848724400023</c:v>
                </c:pt>
                <c:pt idx="2">
                  <c:v>0.21108794783595317</c:v>
                </c:pt>
              </c:numCache>
            </c:numRef>
          </c:val>
        </c:ser>
        <c:dLbls/>
        <c:gapWidth val="50"/>
        <c:axId val="142463360"/>
        <c:axId val="142464896"/>
      </c:barChart>
      <c:catAx>
        <c:axId val="142463360"/>
        <c:scaling>
          <c:orientation val="minMax"/>
        </c:scaling>
        <c:delete val="1"/>
        <c:axPos val="b"/>
        <c:majorTickMark val="none"/>
        <c:tickLblPos val="none"/>
        <c:crossAx val="142464896"/>
        <c:crosses val="autoZero"/>
        <c:auto val="1"/>
        <c:lblAlgn val="ctr"/>
        <c:lblOffset val="100"/>
      </c:catAx>
      <c:valAx>
        <c:axId val="142464896"/>
        <c:scaling>
          <c:orientation val="minMax"/>
        </c:scaling>
        <c:axPos val="l"/>
        <c:majorGridlines/>
        <c:numFmt formatCode="0%" sourceLinked="0"/>
        <c:majorTickMark val="none"/>
        <c:tickLblPos val="nextTo"/>
        <c:txPr>
          <a:bodyPr/>
          <a:lstStyle/>
          <a:p>
            <a:pPr>
              <a:defRPr lang="en-US"/>
            </a:pPr>
            <a:endParaRPr lang="en-US"/>
          </a:p>
        </c:txPr>
        <c:crossAx val="142463360"/>
        <c:crosses val="autoZero"/>
        <c:crossBetween val="between"/>
      </c:valAx>
    </c:plotArea>
    <c:plotVisOnly val="1"/>
    <c:dispBlanksAs val="gap"/>
  </c:chart>
  <c:userShapes r:id="rId1"/>
</c:chartSpace>
</file>

<file path=xl/charts/chart7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p>
          <a:p>
            <a:pPr>
              <a:defRPr lang="en-US"/>
            </a:pPr>
            <a:r>
              <a:rPr lang="en-US" sz="1800" b="1" i="0" baseline="0"/>
              <a:t>PERCENTAGE INCREASE FROM 2005-06 TO 2009-10</a:t>
            </a:r>
          </a:p>
          <a:p>
            <a:pPr>
              <a:defRPr lang="en-US"/>
            </a:pPr>
            <a:r>
              <a:rPr lang="en-US" sz="1800" b="1" i="0" baseline="0"/>
              <a:t>ALBERTA</a:t>
            </a:r>
          </a:p>
        </c:rich>
      </c:tx>
    </c:title>
    <c:plotArea>
      <c:layout>
        <c:manualLayout>
          <c:layoutTarget val="inner"/>
          <c:xMode val="edge"/>
          <c:yMode val="edge"/>
          <c:x val="8.0000465579288582E-2"/>
          <c:y val="0.20979109217358291"/>
          <c:w val="0.84786044422256468"/>
          <c:h val="0.71178411429474764"/>
        </c:manualLayout>
      </c:layout>
      <c:barChart>
        <c:barDir val="col"/>
        <c:grouping val="clustered"/>
        <c:ser>
          <c:idx val="3"/>
          <c:order val="0"/>
          <c:spPr>
            <a:solidFill>
              <a:schemeClr val="accent1"/>
            </a:solidFill>
          </c:spPr>
          <c:dLbls>
            <c:dLbl>
              <c:idx val="0"/>
              <c:layout>
                <c:manualLayout>
                  <c:x val="0"/>
                  <c:y val="4.0314375947746312E-3"/>
                </c:manualLayout>
              </c:layout>
              <c:showVal val="1"/>
            </c:dLbl>
            <c:dLbl>
              <c:idx val="2"/>
              <c:layout>
                <c:manualLayout>
                  <c:x val="0"/>
                  <c:y val="-1.6125750379097983E-2"/>
                </c:manualLayout>
              </c:layout>
              <c:showVal val="1"/>
            </c:dLbl>
            <c:txPr>
              <a:bodyPr/>
              <a:lstStyle/>
              <a:p>
                <a:pPr>
                  <a:defRPr lang="en-US" sz="1400" b="1" i="0" baseline="0"/>
                </a:pPr>
                <a:endParaRPr lang="en-US"/>
              </a:p>
            </c:txPr>
            <c:showVal val="1"/>
          </c:dLbls>
          <c:cat>
            <c:strRef>
              <c:f>Alberta!$A$276:$A$279</c:f>
              <c:strCache>
                <c:ptCount val="4"/>
                <c:pt idx="0">
                  <c:v>Income Assistance - NETW/BFE &amp; FN</c:v>
                </c:pt>
                <c:pt idx="1">
                  <c:v>AISH</c:v>
                </c:pt>
                <c:pt idx="2">
                  <c:v>Total Income Support for the Disabled</c:v>
                </c:pt>
                <c:pt idx="3">
                  <c:v>Total Income Support for the Disabled excl. IAD, FIRST NATIONS SA &amp; AISH</c:v>
                </c:pt>
              </c:strCache>
            </c:strRef>
          </c:cat>
          <c:val>
            <c:numRef>
              <c:f>Alberta!$E$276:$E$279</c:f>
              <c:numCache>
                <c:formatCode>0.0%</c:formatCode>
                <c:ptCount val="4"/>
                <c:pt idx="0">
                  <c:v>0.33713050590022187</c:v>
                </c:pt>
                <c:pt idx="1">
                  <c:v>0.52219935313143195</c:v>
                </c:pt>
                <c:pt idx="2">
                  <c:v>0.27799848724400023</c:v>
                </c:pt>
                <c:pt idx="3">
                  <c:v>0.21108794783595317</c:v>
                </c:pt>
              </c:numCache>
            </c:numRef>
          </c:val>
        </c:ser>
        <c:dLbls/>
        <c:gapWidth val="30"/>
        <c:axId val="142505856"/>
        <c:axId val="142507392"/>
      </c:barChart>
      <c:catAx>
        <c:axId val="142505856"/>
        <c:scaling>
          <c:orientation val="minMax"/>
        </c:scaling>
        <c:axPos val="b"/>
        <c:majorTickMark val="none"/>
        <c:tickLblPos val="none"/>
        <c:txPr>
          <a:bodyPr/>
          <a:lstStyle/>
          <a:p>
            <a:pPr>
              <a:defRPr lang="en-US" sz="1200" b="1"/>
            </a:pPr>
            <a:endParaRPr lang="en-US"/>
          </a:p>
        </c:txPr>
        <c:crossAx val="142507392"/>
        <c:crosses val="autoZero"/>
        <c:auto val="1"/>
        <c:lblAlgn val="ctr"/>
        <c:lblOffset val="100"/>
      </c:catAx>
      <c:valAx>
        <c:axId val="142507392"/>
        <c:scaling>
          <c:orientation val="minMax"/>
        </c:scaling>
        <c:axPos val="l"/>
        <c:majorGridlines/>
        <c:numFmt formatCode="0%" sourceLinked="0"/>
        <c:majorTickMark val="none"/>
        <c:tickLblPos val="nextTo"/>
        <c:txPr>
          <a:bodyPr/>
          <a:lstStyle/>
          <a:p>
            <a:pPr>
              <a:defRPr lang="en-US"/>
            </a:pPr>
            <a:endParaRPr lang="en-US"/>
          </a:p>
        </c:txPr>
        <c:crossAx val="142505856"/>
        <c:crosses val="autoZero"/>
        <c:crossBetween val="between"/>
      </c:valAx>
    </c:plotArea>
    <c:plotVisOnly val="1"/>
    <c:dispBlanksAs val="gap"/>
  </c:chart>
  <c:userShapes r:id="rId1"/>
</c:chartSpace>
</file>

<file path=xl/charts/chart7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a:t>
            </a:r>
            <a:endParaRPr lang="en-CA" sz="1800" b="1" i="0" baseline="0"/>
          </a:p>
          <a:p>
            <a:pPr>
              <a:defRPr/>
            </a:pPr>
            <a:r>
              <a:rPr lang="en-US" sz="1800" b="1" i="0" baseline="0"/>
              <a:t>ESTIMATED EXPENDITURES BY PROGRAM FOR</a:t>
            </a:r>
          </a:p>
          <a:p>
            <a:pPr>
              <a:defRPr/>
            </a:pPr>
            <a:r>
              <a:rPr lang="en-US" sz="1800" b="1" i="0" baseline="0"/>
              <a:t> NEWFOUNDLAND AND LABRADOR</a:t>
            </a:r>
            <a:endParaRPr lang="en-CA" sz="1800" b="1" i="0" baseline="0"/>
          </a:p>
          <a:p>
            <a:pPr>
              <a:defRPr/>
            </a:pPr>
            <a:r>
              <a:rPr lang="en-US" sz="1800" b="1" i="0" baseline="0"/>
              <a:t>2005 AND 2013 </a:t>
            </a:r>
            <a:endParaRPr lang="en-CA" sz="1800" b="1" i="0" baseline="0"/>
          </a:p>
          <a:p>
            <a:pPr>
              <a:defRPr/>
            </a:pPr>
            <a:r>
              <a:rPr lang="en-US" sz="1800" b="1" i="0" baseline="0"/>
              <a:t>($M)</a:t>
            </a:r>
            <a:endParaRPr lang="en-CA"/>
          </a:p>
        </c:rich>
      </c:tx>
    </c:title>
    <c:plotArea>
      <c:layout/>
      <c:barChart>
        <c:barDir val="col"/>
        <c:grouping val="clustered"/>
        <c:ser>
          <c:idx val="0"/>
          <c:order val="0"/>
          <c:tx>
            <c:strRef>
              <c:f>NFLD!$B$259</c:f>
              <c:strCache>
                <c:ptCount val="1"/>
                <c:pt idx="0">
                  <c:v>2005-06</c:v>
                </c:pt>
              </c:strCache>
            </c:strRef>
          </c:tx>
          <c:cat>
            <c:strRef>
              <c:f>(NFLD!$A$260:$A$264,NFLD!$A$267:$A$268)</c:f>
              <c:strCache>
                <c:ptCount val="7"/>
                <c:pt idx="0">
                  <c:v>Disability Tax Measures</c:v>
                </c:pt>
                <c:pt idx="1">
                  <c:v>CPP-D</c:v>
                </c:pt>
                <c:pt idx="2">
                  <c:v>EI Sickness</c:v>
                </c:pt>
                <c:pt idx="3">
                  <c:v>Veterans' Disability Pensions &amp; Awards</c:v>
                </c:pt>
                <c:pt idx="4">
                  <c:v>Income Asst. for the Disabled</c:v>
                </c:pt>
                <c:pt idx="5">
                  <c:v>Workers' Compensation </c:v>
                </c:pt>
                <c:pt idx="6">
                  <c:v>Private Disability Insurance</c:v>
                </c:pt>
              </c:strCache>
            </c:strRef>
          </c:cat>
          <c:val>
            <c:numRef>
              <c:f>(NFLD!$B$260:$B$264,NFLD!$B$267:$B$268)</c:f>
              <c:numCache>
                <c:formatCode>#,##0.0</c:formatCode>
                <c:ptCount val="7"/>
                <c:pt idx="0">
                  <c:v>27.36</c:v>
                </c:pt>
                <c:pt idx="1">
                  <c:v>110.7</c:v>
                </c:pt>
                <c:pt idx="2">
                  <c:v>20</c:v>
                </c:pt>
                <c:pt idx="3">
                  <c:v>29.807999999999996</c:v>
                </c:pt>
                <c:pt idx="4">
                  <c:v>52.45</c:v>
                </c:pt>
                <c:pt idx="5">
                  <c:v>73.599999999999994</c:v>
                </c:pt>
                <c:pt idx="6">
                  <c:v>55</c:v>
                </c:pt>
              </c:numCache>
            </c:numRef>
          </c:val>
        </c:ser>
        <c:ser>
          <c:idx val="10"/>
          <c:order val="1"/>
          <c:tx>
            <c:strRef>
              <c:f>NFLD!$L$259</c:f>
              <c:strCache>
                <c:ptCount val="1"/>
                <c:pt idx="0">
                  <c:v>2013-14</c:v>
                </c:pt>
              </c:strCache>
            </c:strRef>
          </c:tx>
          <c:spPr>
            <a:solidFill>
              <a:srgbClr val="F79646"/>
            </a:solidFill>
          </c:spPr>
          <c:cat>
            <c:strRef>
              <c:f>(NFLD!$A$260:$A$264,NFLD!$A$267:$A$268)</c:f>
              <c:strCache>
                <c:ptCount val="7"/>
                <c:pt idx="0">
                  <c:v>Disability Tax Measures</c:v>
                </c:pt>
                <c:pt idx="1">
                  <c:v>CPP-D</c:v>
                </c:pt>
                <c:pt idx="2">
                  <c:v>EI Sickness</c:v>
                </c:pt>
                <c:pt idx="3">
                  <c:v>Veterans' Disability Pensions &amp; Awards</c:v>
                </c:pt>
                <c:pt idx="4">
                  <c:v>Income Asst. for the Disabled</c:v>
                </c:pt>
                <c:pt idx="5">
                  <c:v>Workers' Compensation </c:v>
                </c:pt>
                <c:pt idx="6">
                  <c:v>Private Disability Insurance</c:v>
                </c:pt>
              </c:strCache>
            </c:strRef>
          </c:cat>
          <c:val>
            <c:numRef>
              <c:f>(NFLD!$L$260:$L$264,NFLD!$L$267:$L$268)</c:f>
              <c:numCache>
                <c:formatCode>#,##0.0</c:formatCode>
                <c:ptCount val="7"/>
                <c:pt idx="0">
                  <c:v>37.824375000000003</c:v>
                </c:pt>
                <c:pt idx="1">
                  <c:v>124.3</c:v>
                </c:pt>
                <c:pt idx="2">
                  <c:v>37.799999999999997</c:v>
                </c:pt>
                <c:pt idx="3">
                  <c:v>38</c:v>
                </c:pt>
                <c:pt idx="4">
                  <c:v>56.4</c:v>
                </c:pt>
                <c:pt idx="5">
                  <c:v>90.4</c:v>
                </c:pt>
                <c:pt idx="6">
                  <c:v>99</c:v>
                </c:pt>
              </c:numCache>
            </c:numRef>
          </c:val>
        </c:ser>
        <c:dLbls/>
        <c:axId val="142721792"/>
        <c:axId val="142723328"/>
      </c:barChart>
      <c:catAx>
        <c:axId val="142721792"/>
        <c:scaling>
          <c:orientation val="minMax"/>
        </c:scaling>
        <c:axPos val="b"/>
        <c:majorTickMark val="none"/>
        <c:tickLblPos val="nextTo"/>
        <c:txPr>
          <a:bodyPr/>
          <a:lstStyle/>
          <a:p>
            <a:pPr>
              <a:defRPr sz="1200" b="1"/>
            </a:pPr>
            <a:endParaRPr lang="en-US"/>
          </a:p>
        </c:txPr>
        <c:crossAx val="142723328"/>
        <c:crosses val="autoZero"/>
        <c:auto val="1"/>
        <c:lblAlgn val="ctr"/>
        <c:lblOffset val="100"/>
      </c:catAx>
      <c:valAx>
        <c:axId val="142723328"/>
        <c:scaling>
          <c:orientation val="minMax"/>
        </c:scaling>
        <c:axPos val="l"/>
        <c:majorGridlines/>
        <c:numFmt formatCode="&quot;$&quot;#,##0" sourceLinked="0"/>
        <c:majorTickMark val="none"/>
        <c:tickLblPos val="nextTo"/>
        <c:crossAx val="142721792"/>
        <c:crosses val="autoZero"/>
        <c:crossBetween val="between"/>
      </c:valAx>
    </c:plotArea>
    <c:legend>
      <c:legendPos val="b"/>
      <c:layout>
        <c:manualLayout>
          <c:xMode val="edge"/>
          <c:yMode val="edge"/>
          <c:x val="0.33250029755396804"/>
          <c:y val="0.95140837283432966"/>
          <c:w val="0.33499928956106872"/>
          <c:h val="3.6485543556799151E-2"/>
        </c:manualLayout>
      </c:layout>
      <c:txPr>
        <a:bodyPr/>
        <a:lstStyle/>
        <a:p>
          <a:pPr>
            <a:defRPr sz="1200" b="1"/>
          </a:pPr>
          <a:endParaRPr lang="en-US"/>
        </a:p>
      </c:txPr>
    </c:legend>
    <c:plotVisOnly val="1"/>
    <c:dispBlanksAs val="gap"/>
  </c:chart>
</c:chartSpace>
</file>

<file path=xl/charts/chart7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sz="1800" b="1" i="0" baseline="0"/>
          </a:p>
          <a:p>
            <a:pPr>
              <a:defRPr/>
            </a:pPr>
            <a:r>
              <a:rPr lang="en-US" sz="1800" b="1" i="0" baseline="0"/>
              <a:t>NEWFOUNDLAND AND LABRADOR 2005</a:t>
            </a:r>
            <a:endParaRPr lang="en-CA" sz="1800" b="1" i="0" baseline="0"/>
          </a:p>
          <a:p>
            <a:pPr>
              <a:defRPr/>
            </a:pPr>
            <a:r>
              <a:rPr lang="en-US" sz="1800" b="1" i="0" baseline="0"/>
              <a:t>$369 M</a:t>
            </a:r>
          </a:p>
        </c:rich>
      </c:tx>
      <c:layout>
        <c:manualLayout>
          <c:xMode val="edge"/>
          <c:yMode val="edge"/>
          <c:x val="0.14544795481239389"/>
          <c:y val="0"/>
        </c:manualLayout>
      </c:layout>
    </c:title>
    <c:plotArea>
      <c:layout/>
      <c:pieChart>
        <c:varyColors val="1"/>
        <c:ser>
          <c:idx val="0"/>
          <c:order val="0"/>
          <c:dLbls>
            <c:dLbl>
              <c:idx val="0"/>
              <c:layout>
                <c:manualLayout>
                  <c:x val="0.16702217445981268"/>
                  <c:y val="3.9071034431481182E-2"/>
                </c:manualLayout>
              </c:layout>
              <c:tx>
                <c:rich>
                  <a:bodyPr/>
                  <a:lstStyle/>
                  <a:p>
                    <a:r>
                      <a:rPr lang="en-US"/>
                      <a:t>Disability Tax Measures</a:t>
                    </a:r>
                  </a:p>
                  <a:p>
                    <a:r>
                      <a:rPr lang="en-US"/>
                      <a:t>$27 M</a:t>
                    </a:r>
                  </a:p>
                </c:rich>
              </c:tx>
              <c:showVal val="1"/>
              <c:showCatName val="1"/>
            </c:dLbl>
            <c:dLbl>
              <c:idx val="1"/>
              <c:layout>
                <c:manualLayout>
                  <c:x val="-0.15701599963832233"/>
                  <c:y val="1.3629035281766736E-2"/>
                </c:manualLayout>
              </c:layout>
              <c:tx>
                <c:rich>
                  <a:bodyPr/>
                  <a:lstStyle/>
                  <a:p>
                    <a:r>
                      <a:rPr lang="en-US"/>
                      <a:t>CPP-D</a:t>
                    </a:r>
                  </a:p>
                  <a:p>
                    <a:r>
                      <a:rPr lang="en-US"/>
                      <a:t>$110 M</a:t>
                    </a:r>
                  </a:p>
                </c:rich>
              </c:tx>
              <c:showVal val="1"/>
              <c:showCatName val="1"/>
            </c:dLbl>
            <c:dLbl>
              <c:idx val="2"/>
              <c:layout>
                <c:manualLayout>
                  <c:x val="0.12762181951714152"/>
                  <c:y val="-9.819686080672925E-2"/>
                </c:manualLayout>
              </c:layout>
              <c:tx>
                <c:rich>
                  <a:bodyPr/>
                  <a:lstStyle/>
                  <a:p>
                    <a:r>
                      <a:rPr lang="en-US"/>
                      <a:t>EI Sickness</a:t>
                    </a:r>
                  </a:p>
                  <a:p>
                    <a:r>
                      <a:rPr lang="en-US"/>
                      <a:t>$20</a:t>
                    </a:r>
                    <a:r>
                      <a:rPr lang="en-US" baseline="0"/>
                      <a:t> M</a:t>
                    </a:r>
                    <a:endParaRPr lang="en-US"/>
                  </a:p>
                </c:rich>
              </c:tx>
              <c:showVal val="1"/>
              <c:showCatName val="1"/>
            </c:dLbl>
            <c:dLbl>
              <c:idx val="3"/>
              <c:layout>
                <c:manualLayout>
                  <c:x val="0.2078199950730599"/>
                  <c:y val="-1.7349193467925871E-2"/>
                </c:manualLayout>
              </c:layout>
              <c:tx>
                <c:rich>
                  <a:bodyPr/>
                  <a:lstStyle/>
                  <a:p>
                    <a:r>
                      <a:rPr lang="en-US"/>
                      <a:t>Veterans' Disability Pensions &amp; Awards $30 M</a:t>
                    </a:r>
                  </a:p>
                </c:rich>
              </c:tx>
              <c:showVal val="1"/>
              <c:showCatName val="1"/>
            </c:dLbl>
            <c:dLbl>
              <c:idx val="4"/>
              <c:tx>
                <c:rich>
                  <a:bodyPr/>
                  <a:lstStyle/>
                  <a:p>
                    <a:r>
                      <a:rPr lang="en-US"/>
                      <a:t>Income Asst. for Persons with Disabilities</a:t>
                    </a:r>
                  </a:p>
                  <a:p>
                    <a:r>
                      <a:rPr lang="en-US"/>
                      <a:t>$53 M</a:t>
                    </a:r>
                  </a:p>
                </c:rich>
              </c:tx>
              <c:showVal val="1"/>
              <c:showCatName val="1"/>
            </c:dLbl>
            <c:dLbl>
              <c:idx val="5"/>
              <c:layout>
                <c:manualLayout>
                  <c:x val="-6.4683850062324869E-2"/>
                  <c:y val="3.1933370149384702E-5"/>
                </c:manualLayout>
              </c:layout>
              <c:tx>
                <c:rich>
                  <a:bodyPr/>
                  <a:lstStyle/>
                  <a:p>
                    <a:r>
                      <a:rPr lang="en-US"/>
                      <a:t>First Nations SA for Disabled - &lt;$-.1 M</a:t>
                    </a:r>
                  </a:p>
                </c:rich>
              </c:tx>
              <c:showVal val="1"/>
              <c:showCatName val="1"/>
            </c:dLbl>
            <c:dLbl>
              <c:idx val="6"/>
              <c:layout>
                <c:manualLayout>
                  <c:x val="0.19066952641402718"/>
                  <c:y val="6.0293698036780995E-3"/>
                </c:manualLayout>
              </c:layout>
              <c:tx>
                <c:rich>
                  <a:bodyPr/>
                  <a:lstStyle/>
                  <a:p>
                    <a:r>
                      <a:rPr lang="en-US"/>
                      <a:t>Workers' Compensation</a:t>
                    </a:r>
                  </a:p>
                  <a:p>
                    <a:r>
                      <a:rPr lang="en-US"/>
                      <a:t>$74 M</a:t>
                    </a:r>
                  </a:p>
                </c:rich>
              </c:tx>
              <c:showVal val="1"/>
              <c:showCatName val="1"/>
            </c:dLbl>
            <c:dLbl>
              <c:idx val="7"/>
              <c:layout>
                <c:manualLayout>
                  <c:x val="0.11243088213449058"/>
                  <c:y val="0.1782719312349032"/>
                </c:manualLayout>
              </c:layout>
              <c:tx>
                <c:rich>
                  <a:bodyPr/>
                  <a:lstStyle/>
                  <a:p>
                    <a:r>
                      <a:rPr lang="en-US"/>
                      <a:t>Private Disability Insurance</a:t>
                    </a:r>
                  </a:p>
                  <a:p>
                    <a:r>
                      <a:rPr lang="en-US"/>
                      <a:t>$55</a:t>
                    </a:r>
                    <a:r>
                      <a:rPr lang="en-US" baseline="0"/>
                      <a:t> M</a:t>
                    </a:r>
                    <a:endParaRPr lang="en-US"/>
                  </a:p>
                </c:rich>
              </c:tx>
              <c:showVal val="1"/>
              <c:showCatName val="1"/>
            </c:dLbl>
            <c:txPr>
              <a:bodyPr/>
              <a:lstStyle/>
              <a:p>
                <a:pPr>
                  <a:defRPr sz="1400" b="1" baseline="0"/>
                </a:pPr>
                <a:endParaRPr lang="en-US"/>
              </a:p>
            </c:txPr>
            <c:showVal val="1"/>
            <c:showCatName val="1"/>
            <c:showLeaderLines val="1"/>
          </c:dLbls>
          <c:cat>
            <c:strRef>
              <c:f>(NFLD!$A$260:$A$265,NFLD!$A$267:$A$268)</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(NFLD!$B$260:$B$265,NFLD!$B$267:$B$268)</c:f>
              <c:numCache>
                <c:formatCode>#,##0.0</c:formatCode>
                <c:ptCount val="8"/>
                <c:pt idx="0">
                  <c:v>27.36</c:v>
                </c:pt>
                <c:pt idx="1">
                  <c:v>110.7</c:v>
                </c:pt>
                <c:pt idx="2">
                  <c:v>20</c:v>
                </c:pt>
                <c:pt idx="3">
                  <c:v>29.807999999999996</c:v>
                </c:pt>
                <c:pt idx="4">
                  <c:v>52.45</c:v>
                </c:pt>
                <c:pt idx="5">
                  <c:v>0.12540000000000001</c:v>
                </c:pt>
                <c:pt idx="6">
                  <c:v>73.599999999999994</c:v>
                </c:pt>
                <c:pt idx="7">
                  <c:v>55</c:v>
                </c:pt>
              </c:numCache>
            </c:numRef>
          </c:val>
        </c:ser>
        <c:dLbls>
          <c:showCatName val="1"/>
          <c:showPercent val="1"/>
        </c:dLbls>
        <c:firstSliceAng val="0"/>
      </c:pieChart>
    </c:plotArea>
    <c:plotVisOnly val="1"/>
    <c:dispBlanksAs val="zero"/>
  </c:chart>
</c:chartSpace>
</file>

<file path=xl/charts/chart7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sz="1800" b="1" i="0" baseline="0"/>
          </a:p>
          <a:p>
            <a:pPr>
              <a:defRPr/>
            </a:pPr>
            <a:r>
              <a:rPr lang="en-US" sz="1800" b="1" i="0" baseline="0"/>
              <a:t>NEWFOUNDLAND AND LABRADOR 2013</a:t>
            </a:r>
            <a:endParaRPr lang="en-CA" sz="1800" b="1" i="0" baseline="0"/>
          </a:p>
          <a:p>
            <a:pPr>
              <a:defRPr/>
            </a:pPr>
            <a:r>
              <a:rPr lang="en-US" sz="1800" b="1" i="0" baseline="0"/>
              <a:t>$484 M</a:t>
            </a:r>
            <a:endParaRPr lang="en-CA"/>
          </a:p>
        </c:rich>
      </c:tx>
    </c:title>
    <c:plotArea>
      <c:layout/>
      <c:pieChart>
        <c:varyColors val="1"/>
        <c:ser>
          <c:idx val="10"/>
          <c:order val="0"/>
          <c:dLbls>
            <c:dLbl>
              <c:idx val="0"/>
              <c:layout>
                <c:manualLayout>
                  <c:x val="0.1408075545492542"/>
                  <c:y val="6.9443641255753669E-2"/>
                </c:manualLayout>
              </c:layout>
              <c:tx>
                <c:rich>
                  <a:bodyPr/>
                  <a:lstStyle/>
                  <a:p>
                    <a:r>
                      <a:rPr lang="en-US"/>
                      <a:t>Disability Tax Measures</a:t>
                    </a:r>
                  </a:p>
                  <a:p>
                    <a:r>
                      <a:rPr lang="en-US"/>
                      <a:t>$ 38 M</a:t>
                    </a:r>
                  </a:p>
                </c:rich>
              </c:tx>
              <c:showVal val="1"/>
              <c:showCatName val="1"/>
            </c:dLbl>
            <c:dLbl>
              <c:idx val="1"/>
              <c:layout>
                <c:manualLayout>
                  <c:x val="-0.15194449211458946"/>
                  <c:y val="3.7945263979349185E-2"/>
                </c:manualLayout>
              </c:layout>
              <c:tx>
                <c:rich>
                  <a:bodyPr/>
                  <a:lstStyle/>
                  <a:p>
                    <a:r>
                      <a:rPr lang="en-US"/>
                      <a:t>CPP-D</a:t>
                    </a:r>
                  </a:p>
                  <a:p>
                    <a:r>
                      <a:rPr lang="en-US"/>
                      <a:t>$124 M</a:t>
                    </a:r>
                  </a:p>
                </c:rich>
              </c:tx>
              <c:showVal val="1"/>
              <c:showCatName val="1"/>
            </c:dLbl>
            <c:dLbl>
              <c:idx val="2"/>
              <c:layout>
                <c:manualLayout>
                  <c:x val="0.13275243417598792"/>
                  <c:y val="-5.9502195300043428E-2"/>
                </c:manualLayout>
              </c:layout>
              <c:tx>
                <c:rich>
                  <a:bodyPr/>
                  <a:lstStyle/>
                  <a:p>
                    <a:r>
                      <a:rPr lang="en-US"/>
                      <a:t>EI Sickness</a:t>
                    </a:r>
                  </a:p>
                  <a:p>
                    <a:r>
                      <a:rPr lang="en-US"/>
                      <a:t>$38 M</a:t>
                    </a:r>
                  </a:p>
                </c:rich>
              </c:tx>
              <c:showVal val="1"/>
              <c:showCatName val="1"/>
            </c:dLbl>
            <c:dLbl>
              <c:idx val="3"/>
              <c:layout>
                <c:manualLayout>
                  <c:x val="9.9454876517410154E-2"/>
                  <c:y val="-9.2784710620117429E-3"/>
                </c:manualLayout>
              </c:layout>
              <c:tx>
                <c:rich>
                  <a:bodyPr/>
                  <a:lstStyle/>
                  <a:p>
                    <a:r>
                      <a:rPr lang="en-US"/>
                      <a:t>Veterans' Disability Pensions &amp; Awards $38 M</a:t>
                    </a:r>
                  </a:p>
                </c:rich>
              </c:tx>
              <c:showVal val="1"/>
              <c:showCatName val="1"/>
            </c:dLbl>
            <c:dLbl>
              <c:idx val="4"/>
              <c:tx>
                <c:rich>
                  <a:bodyPr/>
                  <a:lstStyle/>
                  <a:p>
                    <a:r>
                      <a:rPr lang="en-US"/>
                      <a:t>Income Asst. for Persons</a:t>
                    </a:r>
                    <a:r>
                      <a:rPr lang="en-US" baseline="0"/>
                      <a:t> with Disabilities</a:t>
                    </a:r>
                    <a:r>
                      <a:rPr lang="en-US"/>
                      <a:t> $56 M</a:t>
                    </a:r>
                  </a:p>
                </c:rich>
              </c:tx>
              <c:showVal val="1"/>
              <c:showCatName val="1"/>
            </c:dLbl>
            <c:dLbl>
              <c:idx val="5"/>
              <c:layout>
                <c:manualLayout>
                  <c:x val="-6.0714157202605194E-2"/>
                  <c:y val="-2.0589874484379421E-4"/>
                </c:manualLayout>
              </c:layout>
              <c:tx>
                <c:rich>
                  <a:bodyPr/>
                  <a:lstStyle/>
                  <a:p>
                    <a:r>
                      <a:rPr lang="en-US"/>
                      <a:t>First Nations SA for Disabled - $0.3 M</a:t>
                    </a:r>
                  </a:p>
                </c:rich>
              </c:tx>
              <c:showVal val="1"/>
              <c:showCatName val="1"/>
            </c:dLbl>
            <c:dLbl>
              <c:idx val="6"/>
              <c:layout>
                <c:manualLayout>
                  <c:x val="0.18638878585986657"/>
                  <c:y val="-8.1066752500176364E-2"/>
                </c:manualLayout>
              </c:layout>
              <c:tx>
                <c:rich>
                  <a:bodyPr/>
                  <a:lstStyle/>
                  <a:p>
                    <a:r>
                      <a:rPr lang="en-US"/>
                      <a:t>Workers' Compensation</a:t>
                    </a:r>
                  </a:p>
                  <a:p>
                    <a:r>
                      <a:rPr lang="en-US"/>
                      <a:t>$90</a:t>
                    </a:r>
                    <a:r>
                      <a:rPr lang="en-US" baseline="0"/>
                      <a:t>  M</a:t>
                    </a:r>
                    <a:endParaRPr lang="en-US"/>
                  </a:p>
                </c:rich>
              </c:tx>
              <c:showVal val="1"/>
              <c:showCatName val="1"/>
            </c:dLbl>
            <c:dLbl>
              <c:idx val="7"/>
              <c:layout>
                <c:manualLayout>
                  <c:x val="0.13700895522112641"/>
                  <c:y val="0.21201978407322403"/>
                </c:manualLayout>
              </c:layout>
              <c:tx>
                <c:rich>
                  <a:bodyPr/>
                  <a:lstStyle/>
                  <a:p>
                    <a:r>
                      <a:rPr lang="en-US"/>
                      <a:t>Private Disability Insurance</a:t>
                    </a:r>
                  </a:p>
                  <a:p>
                    <a:r>
                      <a:rPr lang="en-US"/>
                      <a:t>$99 M</a:t>
                    </a:r>
                  </a:p>
                </c:rich>
              </c:tx>
              <c:showVal val="1"/>
              <c:showCatName val="1"/>
            </c:dLbl>
            <c:txPr>
              <a:bodyPr/>
              <a:lstStyle/>
              <a:p>
                <a:pPr>
                  <a:defRPr sz="1400" b="1" i="0" baseline="0"/>
                </a:pPr>
                <a:endParaRPr lang="en-US"/>
              </a:p>
            </c:txPr>
            <c:showVal val="1"/>
            <c:showCatName val="1"/>
            <c:showLeaderLines val="1"/>
          </c:dLbls>
          <c:cat>
            <c:strRef>
              <c:f>(NFLD!$A$260:$A$265,NFLD!$A$267:$A$268)</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(NFLD!$L$260:$L$265,NFLD!$L$267:$L$268)</c:f>
              <c:numCache>
                <c:formatCode>#,##0.0</c:formatCode>
                <c:ptCount val="8"/>
                <c:pt idx="0">
                  <c:v>37.824375000000003</c:v>
                </c:pt>
                <c:pt idx="1">
                  <c:v>124.3</c:v>
                </c:pt>
                <c:pt idx="2">
                  <c:v>37.799999999999997</c:v>
                </c:pt>
                <c:pt idx="3">
                  <c:v>38</c:v>
                </c:pt>
                <c:pt idx="4">
                  <c:v>56.4</c:v>
                </c:pt>
                <c:pt idx="5">
                  <c:v>0.30933700000000003</c:v>
                </c:pt>
                <c:pt idx="6">
                  <c:v>90.4</c:v>
                </c:pt>
                <c:pt idx="7">
                  <c:v>99</c:v>
                </c:pt>
              </c:numCache>
            </c:numRef>
          </c:val>
        </c:ser>
        <c:dLbls>
          <c:showCatName val="1"/>
          <c:showPercent val="1"/>
        </c:dLbls>
        <c:firstSliceAng val="0"/>
      </c:pieChart>
    </c:plotArea>
    <c:plotVisOnly val="1"/>
    <c:dispBlanksAs val="zero"/>
  </c:chart>
</c:chartSpace>
</file>

<file path=xl/charts/chart7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DISABILITY BENEFIT EXPENDITURES</a:t>
            </a:r>
            <a:endParaRPr lang="en-CA"/>
          </a:p>
          <a:p>
            <a:pPr>
              <a:defRPr/>
            </a:pPr>
            <a:r>
              <a:rPr lang="en-US" sz="1800" b="1" i="0" baseline="0"/>
              <a:t>NEWFOUNDLAND AND LABRADOR 2011-12</a:t>
            </a:r>
            <a:endParaRPr lang="en-CA"/>
          </a:p>
          <a:p>
            <a:pPr>
              <a:defRPr/>
            </a:pPr>
            <a:r>
              <a:rPr lang="en-US" sz="1800" b="1" i="0" baseline="0"/>
              <a:t>$447 M</a:t>
            </a:r>
            <a:endParaRPr lang="en-CA"/>
          </a:p>
        </c:rich>
      </c:tx>
    </c:title>
    <c:plotArea>
      <c:layout>
        <c:manualLayout>
          <c:layoutTarget val="inner"/>
          <c:xMode val="edge"/>
          <c:yMode val="edge"/>
          <c:x val="0.24945736766691043"/>
          <c:y val="0.22642078077566641"/>
          <c:w val="0.50694407922962581"/>
          <c:h val="0.69833323695069061"/>
        </c:manualLayout>
      </c:layout>
      <c:pieChart>
        <c:varyColors val="1"/>
        <c:ser>
          <c:idx val="7"/>
          <c:order val="0"/>
          <c:dLbls>
            <c:dLbl>
              <c:idx val="0"/>
              <c:tx>
                <c:rich>
                  <a:bodyPr/>
                  <a:lstStyle/>
                  <a:p>
                    <a:r>
                      <a:rPr lang="en-US"/>
                      <a:t>Disability Tax Measures</a:t>
                    </a:r>
                  </a:p>
                  <a:p>
                    <a:r>
                      <a:rPr lang="en-US"/>
                      <a:t>$35 M</a:t>
                    </a:r>
                  </a:p>
                </c:rich>
              </c:tx>
              <c:showVal val="1"/>
              <c:showCatName val="1"/>
            </c:dLbl>
            <c:dLbl>
              <c:idx val="1"/>
              <c:layout>
                <c:manualLayout>
                  <c:x val="-0.13268986711101388"/>
                  <c:y val="3.223173268242252E-2"/>
                </c:manualLayout>
              </c:layout>
              <c:tx>
                <c:rich>
                  <a:bodyPr/>
                  <a:lstStyle/>
                  <a:p>
                    <a:r>
                      <a:rPr lang="en-US"/>
                      <a:t>CPP-D</a:t>
                    </a:r>
                  </a:p>
                  <a:p>
                    <a:r>
                      <a:rPr lang="en-US"/>
                      <a:t>$126</a:t>
                    </a:r>
                    <a:r>
                      <a:rPr lang="en-US" baseline="0"/>
                      <a:t> M</a:t>
                    </a:r>
                    <a:endParaRPr lang="en-US"/>
                  </a:p>
                </c:rich>
              </c:tx>
              <c:showVal val="1"/>
              <c:showCatName val="1"/>
            </c:dLbl>
            <c:dLbl>
              <c:idx val="2"/>
              <c:layout>
                <c:manualLayout>
                  <c:x val="-7.5679161165378095E-2"/>
                  <c:y val="-8.9352906000232726E-2"/>
                </c:manualLayout>
              </c:layout>
              <c:tx>
                <c:rich>
                  <a:bodyPr/>
                  <a:lstStyle/>
                  <a:p>
                    <a:r>
                      <a:rPr lang="en-US"/>
                      <a:t>EI Sickness</a:t>
                    </a:r>
                  </a:p>
                  <a:p>
                    <a:r>
                      <a:rPr lang="en-US"/>
                      <a:t>$32 M</a:t>
                    </a:r>
                  </a:p>
                </c:rich>
              </c:tx>
              <c:showVal val="1"/>
              <c:showCatName val="1"/>
            </c:dLbl>
            <c:dLbl>
              <c:idx val="3"/>
              <c:tx>
                <c:rich>
                  <a:bodyPr/>
                  <a:lstStyle/>
                  <a:p>
                    <a:r>
                      <a:rPr lang="en-US"/>
                      <a:t>Veterans' Disability Pensions &amp; Awards</a:t>
                    </a:r>
                  </a:p>
                  <a:p>
                    <a:r>
                      <a:rPr lang="en-US"/>
                      <a:t>$37</a:t>
                    </a:r>
                    <a:r>
                      <a:rPr lang="en-US" baseline="0"/>
                      <a:t> M</a:t>
                    </a:r>
                    <a:endParaRPr lang="en-US"/>
                  </a:p>
                </c:rich>
              </c:tx>
              <c:showVal val="1"/>
              <c:showCatName val="1"/>
            </c:dLbl>
            <c:dLbl>
              <c:idx val="4"/>
              <c:layout>
                <c:manualLayout>
                  <c:x val="0.11086837780957784"/>
                  <c:y val="-0.13080734550127243"/>
                </c:manualLayout>
              </c:layout>
              <c:tx>
                <c:rich>
                  <a:bodyPr/>
                  <a:lstStyle/>
                  <a:p>
                    <a:r>
                      <a:rPr lang="en-US"/>
                      <a:t>Income Asst. for the Disabled</a:t>
                    </a:r>
                  </a:p>
                  <a:p>
                    <a:r>
                      <a:rPr lang="en-US"/>
                      <a:t>$57 M</a:t>
                    </a:r>
                  </a:p>
                </c:rich>
              </c:tx>
              <c:showVal val="1"/>
              <c:showCatName val="1"/>
            </c:dLbl>
            <c:dLbl>
              <c:idx val="5"/>
              <c:layout>
                <c:manualLayout>
                  <c:x val="-3.6882390986836752E-2"/>
                  <c:y val="1.2335495481984178E-2"/>
                </c:manualLayout>
              </c:layout>
              <c:tx>
                <c:rich>
                  <a:bodyPr/>
                  <a:lstStyle/>
                  <a:p>
                    <a:r>
                      <a:rPr lang="en-US"/>
                      <a:t>First Nations SA for Disabled</a:t>
                    </a:r>
                  </a:p>
                  <a:p>
                    <a:r>
                      <a:rPr lang="en-US"/>
                      <a:t>$0.3 M</a:t>
                    </a:r>
                  </a:p>
                </c:rich>
              </c:tx>
              <c:showVal val="1"/>
              <c:showCatName val="1"/>
            </c:dLbl>
            <c:dLbl>
              <c:idx val="6"/>
              <c:layout>
                <c:manualLayout>
                  <c:x val="0.22085689545568188"/>
                  <c:y val="-1.4296935222602601E-3"/>
                </c:manualLayout>
              </c:layout>
              <c:tx>
                <c:rich>
                  <a:bodyPr/>
                  <a:lstStyle/>
                  <a:p>
                    <a:r>
                      <a:rPr lang="en-US"/>
                      <a:t>Workers' Compensation</a:t>
                    </a:r>
                  </a:p>
                  <a:p>
                    <a:r>
                      <a:rPr lang="en-US"/>
                      <a:t>$93 M</a:t>
                    </a:r>
                  </a:p>
                </c:rich>
              </c:tx>
              <c:showVal val="1"/>
              <c:showCatName val="1"/>
            </c:dLbl>
            <c:dLbl>
              <c:idx val="7"/>
              <c:layout>
                <c:manualLayout>
                  <c:x val="0.11324736791602415"/>
                  <c:y val="0.17159801574617092"/>
                </c:manualLayout>
              </c:layout>
              <c:tx>
                <c:rich>
                  <a:bodyPr/>
                  <a:lstStyle/>
                  <a:p>
                    <a:r>
                      <a:rPr lang="en-US"/>
                      <a:t>Private Disability Insurance</a:t>
                    </a:r>
                  </a:p>
                  <a:p>
                    <a:r>
                      <a:rPr lang="en-US"/>
                      <a:t>$68 M</a:t>
                    </a:r>
                  </a:p>
                </c:rich>
              </c:tx>
              <c:showVal val="1"/>
              <c:showCatName val="1"/>
            </c:dLbl>
            <c:txPr>
              <a:bodyPr/>
              <a:lstStyle/>
              <a:p>
                <a:pPr>
                  <a:defRPr sz="1200" b="1"/>
                </a:pPr>
                <a:endParaRPr lang="en-US"/>
              </a:p>
            </c:txPr>
            <c:showVal val="1"/>
            <c:showCatName val="1"/>
            <c:showLeaderLines val="1"/>
          </c:dLbls>
          <c:cat>
            <c:strRef>
              <c:f>(NFLD!$A$260:$A$265,NFLD!$A$267:$A$268)</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(NFLD!$H$260:$H$265,NFLD!$H$267:$H$268)</c:f>
              <c:numCache>
                <c:formatCode>#,##0.0</c:formatCode>
                <c:ptCount val="8"/>
                <c:pt idx="0">
                  <c:v>34.626899999999992</c:v>
                </c:pt>
                <c:pt idx="1">
                  <c:v>125.7</c:v>
                </c:pt>
                <c:pt idx="2">
                  <c:v>32.1</c:v>
                </c:pt>
                <c:pt idx="3">
                  <c:v>36.799999999999997</c:v>
                </c:pt>
                <c:pt idx="4">
                  <c:v>56.55</c:v>
                </c:pt>
                <c:pt idx="5">
                  <c:v>0.2772</c:v>
                </c:pt>
                <c:pt idx="6">
                  <c:v>92.8</c:v>
                </c:pt>
                <c:pt idx="7">
                  <c:v>68</c:v>
                </c:pt>
              </c:numCache>
            </c:numRef>
          </c:val>
        </c:ser>
        <c:dLbls>
          <c:showCatName val="1"/>
          <c:showPercent val="1"/>
        </c:dLbls>
        <c:firstSliceAng val="0"/>
      </c:pieChart>
    </c:plotArea>
    <c:plotVisOnly val="1"/>
    <c:dispBlanksAs val="zero"/>
  </c:chart>
</c:chartSpace>
</file>

<file path=xl/charts/chart7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p>
          <a:p>
            <a:pPr>
              <a:defRPr lang="en-US"/>
            </a:pPr>
            <a:r>
              <a:rPr lang="en-US" sz="1800" b="1" i="0" baseline="0"/>
              <a:t>NEWFOUNDLAND AND LABRADOR 2010-11</a:t>
            </a:r>
          </a:p>
          <a:p>
            <a:pPr>
              <a:defRPr lang="en-US"/>
            </a:pPr>
            <a:r>
              <a:rPr lang="en-US" sz="1800" b="1" i="0" baseline="0"/>
              <a:t>$431 M</a:t>
            </a:r>
            <a:endParaRPr lang="en-US"/>
          </a:p>
        </c:rich>
      </c:tx>
    </c:title>
    <c:plotArea>
      <c:layout/>
      <c:pieChart>
        <c:varyColors val="1"/>
        <c:ser>
          <c:idx val="4"/>
          <c:order val="0"/>
          <c:dLbls>
            <c:dLbl>
              <c:idx val="0"/>
              <c:tx>
                <c:rich>
                  <a:bodyPr/>
                  <a:lstStyle/>
                  <a:p>
                    <a:r>
                      <a:rPr lang="en-US"/>
                      <a:t>Disability Tax Measures $33</a:t>
                    </a:r>
                    <a:r>
                      <a:rPr lang="en-US" baseline="0"/>
                      <a:t> M</a:t>
                    </a:r>
                    <a:endParaRPr lang="en-US"/>
                  </a:p>
                </c:rich>
              </c:tx>
              <c:showVal val="1"/>
              <c:showCatName val="1"/>
            </c:dLbl>
            <c:dLbl>
              <c:idx val="1"/>
              <c:layout>
                <c:manualLayout>
                  <c:x val="-0.14604501921206212"/>
                  <c:y val="5.3823342404596977E-2"/>
                </c:manualLayout>
              </c:layout>
              <c:tx>
                <c:rich>
                  <a:bodyPr/>
                  <a:lstStyle/>
                  <a:p>
                    <a:r>
                      <a:rPr lang="en-US"/>
                      <a:t>CPP-D</a:t>
                    </a:r>
                  </a:p>
                  <a:p>
                    <a:r>
                      <a:rPr lang="en-US"/>
                      <a:t>$122</a:t>
                    </a:r>
                    <a:r>
                      <a:rPr lang="en-US" baseline="0"/>
                      <a:t> M</a:t>
                    </a:r>
                    <a:endParaRPr lang="en-US"/>
                  </a:p>
                </c:rich>
              </c:tx>
              <c:showVal val="1"/>
              <c:showCatName val="1"/>
            </c:dLbl>
            <c:dLbl>
              <c:idx val="2"/>
              <c:layout>
                <c:manualLayout>
                  <c:x val="-9.5398578508077744E-2"/>
                  <c:y val="-0.10457898300479231"/>
                </c:manualLayout>
              </c:layout>
              <c:tx>
                <c:rich>
                  <a:bodyPr/>
                  <a:lstStyle/>
                  <a:p>
                    <a:r>
                      <a:rPr lang="en-US"/>
                      <a:t>EI Sickness</a:t>
                    </a:r>
                  </a:p>
                  <a:p>
                    <a:r>
                      <a:rPr lang="en-US"/>
                      <a:t> $29</a:t>
                    </a:r>
                    <a:r>
                      <a:rPr lang="en-US" baseline="0"/>
                      <a:t> M</a:t>
                    </a:r>
                    <a:endParaRPr lang="en-US"/>
                  </a:p>
                </c:rich>
              </c:tx>
              <c:showVal val="1"/>
              <c:showCatName val="1"/>
            </c:dLbl>
            <c:dLbl>
              <c:idx val="3"/>
              <c:layout>
                <c:manualLayout>
                  <c:x val="8.3938759268081725E-2"/>
                  <c:y val="-9.5564117158022737E-4"/>
                </c:manualLayout>
              </c:layout>
              <c:tx>
                <c:rich>
                  <a:bodyPr/>
                  <a:lstStyle/>
                  <a:p>
                    <a:r>
                      <a:rPr lang="en-US"/>
                      <a:t>Veterans' Disability Pensions &amp; Awards</a:t>
                    </a:r>
                  </a:p>
                  <a:p>
                    <a:r>
                      <a:rPr lang="en-US"/>
                      <a:t>$38</a:t>
                    </a:r>
                    <a:r>
                      <a:rPr lang="en-US" baseline="0"/>
                      <a:t> M</a:t>
                    </a:r>
                    <a:endParaRPr lang="en-US"/>
                  </a:p>
                </c:rich>
              </c:tx>
              <c:showVal val="1"/>
              <c:showCatName val="1"/>
            </c:dLbl>
            <c:dLbl>
              <c:idx val="4"/>
              <c:layout>
                <c:manualLayout>
                  <c:x val="0.10635824574334919"/>
                  <c:y val="-0.15299496133787946"/>
                </c:manualLayout>
              </c:layout>
              <c:tx>
                <c:rich>
                  <a:bodyPr/>
                  <a:lstStyle/>
                  <a:p>
                    <a:r>
                      <a:rPr lang="en-US"/>
                      <a:t>Income Asst. for</a:t>
                    </a:r>
                  </a:p>
                  <a:p>
                    <a:r>
                      <a:rPr lang="en-US"/>
                      <a:t> the Disabled</a:t>
                    </a:r>
                  </a:p>
                  <a:p>
                    <a:r>
                      <a:rPr lang="en-US"/>
                      <a:t>$56 M</a:t>
                    </a:r>
                  </a:p>
                </c:rich>
              </c:tx>
              <c:showVal val="1"/>
              <c:showCatName val="1"/>
            </c:dLbl>
            <c:dLbl>
              <c:idx val="5"/>
              <c:layout>
                <c:manualLayout>
                  <c:x val="-5.3920304350561839E-2"/>
                  <c:y val="-2.8558132536526592E-3"/>
                </c:manualLayout>
              </c:layout>
              <c:tx>
                <c:rich>
                  <a:bodyPr/>
                  <a:lstStyle/>
                  <a:p>
                    <a:r>
                      <a:rPr lang="en-US"/>
                      <a:t>First Nations SA for Disabled</a:t>
                    </a:r>
                  </a:p>
                  <a:p>
                    <a:r>
                      <a:rPr lang="en-US"/>
                      <a:t>$0.3 M</a:t>
                    </a:r>
                  </a:p>
                </c:rich>
              </c:tx>
              <c:showVal val="1"/>
              <c:showCatName val="1"/>
            </c:dLbl>
            <c:dLbl>
              <c:idx val="6"/>
              <c:layout>
                <c:manualLayout>
                  <c:x val="0.21895859594194644"/>
                  <c:y val="8.8132939670330004E-3"/>
                </c:manualLayout>
              </c:layout>
              <c:tx>
                <c:rich>
                  <a:bodyPr/>
                  <a:lstStyle/>
                  <a:p>
                    <a:r>
                      <a:rPr lang="en-US"/>
                      <a:t>Workers' Compensation </a:t>
                    </a:r>
                  </a:p>
                  <a:p>
                    <a:r>
                      <a:rPr lang="en-US"/>
                      <a:t>$91</a:t>
                    </a:r>
                    <a:r>
                      <a:rPr lang="en-US" baseline="0"/>
                      <a:t> M</a:t>
                    </a:r>
                  </a:p>
                  <a:p>
                    <a:endParaRPr lang="en-US"/>
                  </a:p>
                </c:rich>
              </c:tx>
              <c:showVal val="1"/>
              <c:showCatName val="1"/>
            </c:dLbl>
            <c:dLbl>
              <c:idx val="7"/>
              <c:layout>
                <c:manualLayout>
                  <c:x val="0.10227417042184199"/>
                  <c:y val="0.1647846942503764"/>
                </c:manualLayout>
              </c:layout>
              <c:tx>
                <c:rich>
                  <a:bodyPr/>
                  <a:lstStyle/>
                  <a:p>
                    <a:r>
                      <a:rPr lang="en-US"/>
                      <a:t>Private Disability Insurance</a:t>
                    </a:r>
                  </a:p>
                  <a:p>
                    <a:r>
                      <a:rPr lang="en-US"/>
                      <a:t>$62 M</a:t>
                    </a:r>
                  </a:p>
                </c:rich>
              </c:tx>
              <c:showVal val="1"/>
              <c:showCatName val="1"/>
            </c:dLbl>
            <c:dLbl>
              <c:idx val="8"/>
              <c:tx>
                <c:rich>
                  <a:bodyPr/>
                  <a:lstStyle/>
                  <a:p>
                    <a:r>
                      <a:rPr lang="en-US"/>
                      <a:t>Private Disability Insurance</a:t>
                    </a:r>
                  </a:p>
                  <a:p>
                    <a:r>
                      <a:rPr lang="en-US"/>
                      <a:t>$62</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(NFLD!$A$260:$A$265,NFLD!$A$267:$A$268)</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(NFLD!$F$260:$F$265,NFLD!$F$267:$F$268)</c:f>
              <c:numCache>
                <c:formatCode>#,##0.0</c:formatCode>
                <c:ptCount val="8"/>
                <c:pt idx="0">
                  <c:v>32.855999999999995</c:v>
                </c:pt>
                <c:pt idx="1">
                  <c:v>122.3</c:v>
                </c:pt>
                <c:pt idx="2">
                  <c:v>29</c:v>
                </c:pt>
                <c:pt idx="3">
                  <c:v>37.5</c:v>
                </c:pt>
                <c:pt idx="4">
                  <c:v>55.825000000000003</c:v>
                </c:pt>
                <c:pt idx="5">
                  <c:v>0.27951000000000004</c:v>
                </c:pt>
                <c:pt idx="6">
                  <c:v>90.8</c:v>
                </c:pt>
                <c:pt idx="7">
                  <c:v>62</c:v>
                </c:pt>
              </c:numCache>
            </c:numRef>
          </c:val>
        </c:ser>
        <c:dLbls>
          <c:showCatName val="1"/>
          <c:showPercent val="1"/>
        </c:dLbls>
        <c:firstSliceAng val="0"/>
      </c:pieChart>
    </c:plotArea>
    <c:plotVisOnly val="1"/>
    <c:dispBlanksAs val="zero"/>
  </c:chart>
</c:chartSpace>
</file>

<file path=xl/charts/chart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endParaRPr lang="en-CA"/>
          </a:p>
          <a:p>
            <a:pPr>
              <a:defRPr/>
            </a:pPr>
            <a:r>
              <a:rPr lang="en-US" sz="1800" b="1" i="0" baseline="0"/>
              <a:t>PERCENTAGE CHANGE IN ESTIMATED EXPENDITURES</a:t>
            </a:r>
          </a:p>
          <a:p>
            <a:pPr>
              <a:defRPr/>
            </a:pPr>
            <a:r>
              <a:rPr lang="en-US" sz="1800" b="1" i="0" baseline="0"/>
              <a:t> 2005 TO 2013 </a:t>
            </a:r>
            <a:endParaRPr lang="en-CA"/>
          </a:p>
          <a:p>
            <a:pPr>
              <a:defRPr/>
            </a:pPr>
            <a:r>
              <a:rPr lang="en-US" sz="1800" b="1" i="0" baseline="0"/>
              <a:t>CANADA</a:t>
            </a:r>
            <a:endParaRPr lang="en-CA"/>
          </a:p>
        </c:rich>
      </c:tx>
    </c:title>
    <c:plotArea>
      <c:layout/>
      <c:barChart>
        <c:barDir val="col"/>
        <c:grouping val="clustered"/>
        <c:ser>
          <c:idx val="7"/>
          <c:order val="0"/>
          <c:tx>
            <c:strRef>
              <c:f>'CAN &amp; ON input to 2013-14'!$N$42</c:f>
              <c:strCache>
                <c:ptCount val="1"/>
                <c:pt idx="0">
                  <c:v>% change</c:v>
                </c:pt>
              </c:strCache>
            </c:strRef>
          </c:tx>
          <c:spPr>
            <a:solidFill>
              <a:schemeClr val="accent6">
                <a:lumMod val="75000"/>
              </a:schemeClr>
            </a:solidFill>
          </c:spPr>
          <c:dLbls>
            <c:dLbl>
              <c:idx val="0"/>
              <c:layout>
                <c:manualLayout>
                  <c:x val="0"/>
                  <c:y val="-1.6141444811828273E-2"/>
                </c:manualLayout>
              </c:layout>
              <c:showVal val="1"/>
            </c:dLbl>
            <c:dLbl>
              <c:idx val="1"/>
              <c:layout>
                <c:manualLayout>
                  <c:x val="2.6852589879044817E-17"/>
                  <c:y val="8.0707224059141189E-3"/>
                </c:manualLayout>
              </c:layout>
              <c:showVal val="1"/>
            </c:dLbl>
            <c:dLbl>
              <c:idx val="2"/>
              <c:layout>
                <c:manualLayout>
                  <c:x val="0"/>
                  <c:y val="-8.0707224059141189E-3"/>
                </c:manualLayout>
              </c:layout>
              <c:showVal val="1"/>
            </c:dLbl>
            <c:txPr>
              <a:bodyPr/>
              <a:lstStyle/>
              <a:p>
                <a:pPr>
                  <a:defRPr sz="1200" b="1"/>
                </a:pPr>
                <a:endParaRPr lang="en-US"/>
              </a:p>
            </c:txPr>
            <c:showVal val="1"/>
          </c:dLbls>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2013-14'!$N$43:$N$49</c:f>
              <c:numCache>
                <c:formatCode>0.0%</c:formatCode>
                <c:ptCount val="7"/>
                <c:pt idx="0">
                  <c:v>0.47463450292397663</c:v>
                </c:pt>
                <c:pt idx="1">
                  <c:v>0.26112492724482778</c:v>
                </c:pt>
                <c:pt idx="2">
                  <c:v>0.4860335195530725</c:v>
                </c:pt>
                <c:pt idx="3">
                  <c:v>0.22240338164251219</c:v>
                </c:pt>
                <c:pt idx="4">
                  <c:v>0.51491219233502172</c:v>
                </c:pt>
                <c:pt idx="5">
                  <c:v>0.1164687396625867</c:v>
                </c:pt>
                <c:pt idx="6">
                  <c:v>0.50797932119577438</c:v>
                </c:pt>
              </c:numCache>
            </c:numRef>
          </c:val>
        </c:ser>
        <c:dLbls/>
        <c:gapWidth val="50"/>
        <c:axId val="47282816"/>
        <c:axId val="47300992"/>
      </c:barChart>
      <c:catAx>
        <c:axId val="47282816"/>
        <c:scaling>
          <c:orientation val="minMax"/>
        </c:scaling>
        <c:axPos val="b"/>
        <c:majorTickMark val="none"/>
        <c:tickLblPos val="nextTo"/>
        <c:txPr>
          <a:bodyPr/>
          <a:lstStyle/>
          <a:p>
            <a:pPr>
              <a:defRPr sz="1400" b="1"/>
            </a:pPr>
            <a:endParaRPr lang="en-US"/>
          </a:p>
        </c:txPr>
        <c:crossAx val="47300992"/>
        <c:crosses val="autoZero"/>
        <c:auto val="1"/>
        <c:lblAlgn val="ctr"/>
        <c:lblOffset val="100"/>
      </c:catAx>
      <c:valAx>
        <c:axId val="47300992"/>
        <c:scaling>
          <c:orientation val="minMax"/>
        </c:scaling>
        <c:axPos val="l"/>
        <c:majorGridlines/>
        <c:numFmt formatCode="0%" sourceLinked="0"/>
        <c:majorTickMark val="none"/>
        <c:tickLblPos val="nextTo"/>
        <c:txPr>
          <a:bodyPr/>
          <a:lstStyle/>
          <a:p>
            <a:pPr>
              <a:defRPr b="0"/>
            </a:pPr>
            <a:endParaRPr lang="en-US"/>
          </a:p>
        </c:txPr>
        <c:crossAx val="47282816"/>
        <c:crosses val="autoZero"/>
        <c:crossBetween val="between"/>
      </c:valAx>
    </c:plotArea>
    <c:plotVisOnly val="1"/>
    <c:dispBlanksAs val="gap"/>
  </c:chart>
</c:chartSpace>
</file>

<file path=xl/charts/chart8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NEWFOUNDLAND AND LABRADOR 2009-10</a:t>
            </a:r>
            <a:endParaRPr lang="en-US"/>
          </a:p>
          <a:p>
            <a:pPr>
              <a:defRPr lang="en-US"/>
            </a:pPr>
            <a:r>
              <a:rPr lang="en-US" sz="1800" b="1" i="0" baseline="0"/>
              <a:t>$416 M</a:t>
            </a:r>
            <a:endParaRPr lang="en-US"/>
          </a:p>
        </c:rich>
      </c:tx>
    </c:title>
    <c:plotArea>
      <c:layout/>
      <c:pieChart>
        <c:varyColors val="1"/>
        <c:ser>
          <c:idx val="2"/>
          <c:order val="0"/>
          <c:dLbls>
            <c:dLbl>
              <c:idx val="0"/>
              <c:tx>
                <c:rich>
                  <a:bodyPr/>
                  <a:lstStyle/>
                  <a:p>
                    <a:r>
                      <a:rPr lang="en-US"/>
                      <a:t>Disability Tax Measures $31 M</a:t>
                    </a:r>
                  </a:p>
                </c:rich>
              </c:tx>
              <c:showVal val="1"/>
              <c:showCatName val="1"/>
            </c:dLbl>
            <c:dLbl>
              <c:idx val="1"/>
              <c:layout>
                <c:manualLayout>
                  <c:x val="-0.17130361738970887"/>
                  <c:y val="2.6843819250654717E-2"/>
                </c:manualLayout>
              </c:layout>
              <c:tx>
                <c:rich>
                  <a:bodyPr/>
                  <a:lstStyle/>
                  <a:p>
                    <a:r>
                      <a:rPr lang="en-US"/>
                      <a:t>CPP-D</a:t>
                    </a:r>
                  </a:p>
                  <a:p>
                    <a:r>
                      <a:rPr lang="en-US"/>
                      <a:t>$119 M</a:t>
                    </a:r>
                  </a:p>
                </c:rich>
              </c:tx>
              <c:showVal val="1"/>
              <c:showCatName val="1"/>
            </c:dLbl>
            <c:dLbl>
              <c:idx val="2"/>
              <c:tx>
                <c:rich>
                  <a:bodyPr/>
                  <a:lstStyle/>
                  <a:p>
                    <a:r>
                      <a:rPr lang="en-US"/>
                      <a:t>EI Sickness</a:t>
                    </a:r>
                  </a:p>
                  <a:p>
                    <a:r>
                      <a:rPr lang="en-US"/>
                      <a:t> $29</a:t>
                    </a:r>
                    <a:r>
                      <a:rPr lang="en-US" baseline="0"/>
                      <a:t> M</a:t>
                    </a:r>
                    <a:endParaRPr lang="en-US"/>
                  </a:p>
                </c:rich>
              </c:tx>
              <c:showVal val="1"/>
              <c:showCatName val="1"/>
            </c:dLbl>
            <c:dLbl>
              <c:idx val="3"/>
              <c:tx>
                <c:rich>
                  <a:bodyPr/>
                  <a:lstStyle/>
                  <a:p>
                    <a:r>
                      <a:rPr lang="en-US"/>
                      <a:t>Veterans' Disability Pensions &amp; Awards </a:t>
                    </a:r>
                  </a:p>
                  <a:p>
                    <a:r>
                      <a:rPr lang="en-US"/>
                      <a:t>$37</a:t>
                    </a:r>
                    <a:r>
                      <a:rPr lang="en-US" baseline="0"/>
                      <a:t> </a:t>
                    </a:r>
                    <a:r>
                      <a:rPr lang="en-US"/>
                      <a:t>M</a:t>
                    </a:r>
                  </a:p>
                </c:rich>
              </c:tx>
              <c:showVal val="1"/>
              <c:showCatName val="1"/>
            </c:dLbl>
            <c:dLbl>
              <c:idx val="4"/>
              <c:tx>
                <c:rich>
                  <a:bodyPr/>
                  <a:lstStyle/>
                  <a:p>
                    <a:r>
                      <a:rPr lang="en-US"/>
                      <a:t>Income Asst. for the Disabled</a:t>
                    </a:r>
                  </a:p>
                  <a:p>
                    <a:r>
                      <a:rPr lang="en-US"/>
                      <a:t>$54</a:t>
                    </a:r>
                    <a:r>
                      <a:rPr lang="en-US" baseline="0"/>
                      <a:t> M</a:t>
                    </a:r>
                    <a:endParaRPr lang="en-US"/>
                  </a:p>
                </c:rich>
              </c:tx>
              <c:showVal val="1"/>
              <c:showCatName val="1"/>
            </c:dLbl>
            <c:dLbl>
              <c:idx val="5"/>
              <c:layout>
                <c:manualLayout>
                  <c:x val="-3.1194042613411816E-2"/>
                  <c:y val="6.7296438589938335E-5"/>
                </c:manualLayout>
              </c:layout>
              <c:tx>
                <c:rich>
                  <a:bodyPr/>
                  <a:lstStyle/>
                  <a:p>
                    <a:r>
                      <a:rPr lang="en-US"/>
                      <a:t>First Nations SA</a:t>
                    </a:r>
                  </a:p>
                  <a:p>
                    <a:r>
                      <a:rPr lang="en-US"/>
                      <a:t> for Disabled </a:t>
                    </a:r>
                  </a:p>
                  <a:p>
                    <a:r>
                      <a:rPr lang="en-US"/>
                      <a:t>$0.3 M</a:t>
                    </a:r>
                  </a:p>
                </c:rich>
              </c:tx>
              <c:showVal val="1"/>
              <c:showCatName val="1"/>
            </c:dLbl>
            <c:dLbl>
              <c:idx val="6"/>
              <c:layout>
                <c:manualLayout>
                  <c:x val="0.22478628873614173"/>
                  <c:y val="1.2424128820620401E-2"/>
                </c:manualLayout>
              </c:layout>
              <c:tx>
                <c:rich>
                  <a:bodyPr/>
                  <a:lstStyle/>
                  <a:p>
                    <a:r>
                      <a:rPr lang="en-US"/>
                      <a:t>Worker's Compensation $88 M</a:t>
                    </a:r>
                  </a:p>
                </c:rich>
              </c:tx>
              <c:showVal val="1"/>
              <c:showCatName val="1"/>
            </c:dLbl>
            <c:dLbl>
              <c:idx val="7"/>
              <c:layout>
                <c:manualLayout>
                  <c:x val="0.10254470194974002"/>
                  <c:y val="0.16547813326028071"/>
                </c:manualLayout>
              </c:layout>
              <c:tx>
                <c:rich>
                  <a:bodyPr/>
                  <a:lstStyle/>
                  <a:p>
                    <a:r>
                      <a:rPr lang="en-US"/>
                      <a:t>Private Disability Insurance</a:t>
                    </a:r>
                  </a:p>
                  <a:p>
                    <a:r>
                      <a:rPr lang="en-US"/>
                      <a:t>$58 M</a:t>
                    </a:r>
                  </a:p>
                </c:rich>
              </c:tx>
              <c:showVal val="1"/>
              <c:showCatName val="1"/>
            </c:dLbl>
            <c:txPr>
              <a:bodyPr/>
              <a:lstStyle/>
              <a:p>
                <a:pPr>
                  <a:defRPr lang="en-US" sz="1200" b="1" i="0" baseline="0"/>
                </a:pPr>
                <a:endParaRPr lang="en-US"/>
              </a:p>
            </c:txPr>
            <c:showVal val="1"/>
            <c:showCatName val="1"/>
            <c:showLeaderLines val="1"/>
          </c:dLbls>
          <c:cat>
            <c:strRef>
              <c:f>(NFLD!$A$260:$A$265,NFLD!$A$267:$A$268)</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(NFLD!$D$260:$D$265,NFLD!$D$267:$D$268)</c:f>
              <c:numCache>
                <c:formatCode>#,##0.0</c:formatCode>
                <c:ptCount val="8"/>
                <c:pt idx="0">
                  <c:v>30.727499999999992</c:v>
                </c:pt>
                <c:pt idx="1">
                  <c:v>118.9</c:v>
                </c:pt>
                <c:pt idx="2">
                  <c:v>29</c:v>
                </c:pt>
                <c:pt idx="3">
                  <c:v>36.543599999999998</c:v>
                </c:pt>
                <c:pt idx="4">
                  <c:v>54.4</c:v>
                </c:pt>
                <c:pt idx="5">
                  <c:v>0.28325000000000006</c:v>
                </c:pt>
                <c:pt idx="6">
                  <c:v>87.6</c:v>
                </c:pt>
                <c:pt idx="7">
                  <c:v>58</c:v>
                </c:pt>
              </c:numCache>
            </c:numRef>
          </c:val>
        </c:ser>
        <c:dLbls>
          <c:showCatName val="1"/>
          <c:showPercent val="1"/>
        </c:dLbls>
        <c:firstSliceAng val="0"/>
      </c:pieChart>
    </c:plotArea>
    <c:plotVisOnly val="1"/>
    <c:dispBlanksAs val="zero"/>
  </c:chart>
  <c:userShapes r:id="rId1"/>
</c:chartSpace>
</file>

<file path=xl/charts/chart8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p>
          <a:p>
            <a:pPr>
              <a:defRPr/>
            </a:pPr>
            <a:r>
              <a:rPr lang="en-US" sz="1800" b="1" i="0" baseline="0"/>
              <a:t>PERCENTAGE CHANGE IN EXPENDITURES FROM 2005 TO 2013 </a:t>
            </a:r>
          </a:p>
          <a:p>
            <a:pPr>
              <a:defRPr/>
            </a:pPr>
            <a:r>
              <a:rPr lang="en-US" sz="1800" b="1" i="0" baseline="0"/>
              <a:t>NEWFOUNDLAND AND LABRADOR</a:t>
            </a:r>
            <a:endParaRPr lang="en-CA"/>
          </a:p>
        </c:rich>
      </c:tx>
    </c:title>
    <c:plotArea>
      <c:layout/>
      <c:barChart>
        <c:barDir val="col"/>
        <c:grouping val="clustered"/>
        <c:ser>
          <c:idx val="1"/>
          <c:order val="0"/>
          <c:spPr>
            <a:solidFill>
              <a:srgbClr val="F79646">
                <a:lumMod val="75000"/>
              </a:srgbClr>
            </a:solidFill>
          </c:spPr>
          <c:dLbls>
            <c:dLbl>
              <c:idx val="4"/>
              <c:layout>
                <c:manualLayout>
                  <c:x val="0"/>
                  <c:y val="-6.0530418044355931E-3"/>
                </c:manualLayout>
              </c:layout>
              <c:showVal val="1"/>
            </c:dLbl>
            <c:dLbl>
              <c:idx val="5"/>
              <c:layout>
                <c:manualLayout>
                  <c:x val="0"/>
                  <c:y val="-6.0530418044355931E-3"/>
                </c:manualLayout>
              </c:layout>
              <c:showVal val="1"/>
            </c:dLbl>
            <c:txPr>
              <a:bodyPr/>
              <a:lstStyle/>
              <a:p>
                <a:pPr>
                  <a:defRPr sz="1200" b="1"/>
                </a:pPr>
                <a:endParaRPr lang="en-US"/>
              </a:p>
            </c:txPr>
            <c:showVal val="1"/>
          </c:dLbls>
          <c:cat>
            <c:strRef>
              <c:f>(NFLD!$A$260:$A$264,NFLD!$A$266:$A$268)</c:f>
              <c:strCache>
                <c:ptCount val="8"/>
                <c:pt idx="0">
                  <c:v>Disability Tax Measures</c:v>
                </c:pt>
                <c:pt idx="1">
                  <c:v>CPP-D</c:v>
                </c:pt>
                <c:pt idx="2">
                  <c:v>EI Sickness</c:v>
                </c:pt>
                <c:pt idx="3">
                  <c:v>Veterans' Disability Pensions &amp; Awards</c:v>
                </c:pt>
                <c:pt idx="4">
                  <c:v>Income Asst. for the Disabled</c:v>
                </c:pt>
                <c:pt idx="5">
                  <c:v>Income Assistance &amp; FN SA</c:v>
                </c:pt>
                <c:pt idx="6">
                  <c:v>Workers' Compensation </c:v>
                </c:pt>
                <c:pt idx="7">
                  <c:v>Private Disability Insurance</c:v>
                </c:pt>
              </c:strCache>
            </c:strRef>
          </c:cat>
          <c:val>
            <c:numRef>
              <c:f>(NFLD!$M$260:$M$264,NFLD!$M$266:$M$268)</c:f>
              <c:numCache>
                <c:formatCode>0.0%</c:formatCode>
                <c:ptCount val="8"/>
                <c:pt idx="0">
                  <c:v>0.38246984649122823</c:v>
                </c:pt>
                <c:pt idx="1">
                  <c:v>0.12285456187895206</c:v>
                </c:pt>
                <c:pt idx="2">
                  <c:v>0.8899999999999999</c:v>
                </c:pt>
                <c:pt idx="3">
                  <c:v>0.27482555018786919</c:v>
                </c:pt>
                <c:pt idx="4">
                  <c:v>7.5309818875119075E-2</c:v>
                </c:pt>
                <c:pt idx="5">
                  <c:v>7.8628731307797864E-2</c:v>
                </c:pt>
                <c:pt idx="6">
                  <c:v>0.22826086956521757</c:v>
                </c:pt>
                <c:pt idx="7">
                  <c:v>0.8</c:v>
                </c:pt>
              </c:numCache>
            </c:numRef>
          </c:val>
        </c:ser>
        <c:dLbls/>
        <c:gapWidth val="50"/>
        <c:axId val="143870592"/>
        <c:axId val="143892864"/>
      </c:barChart>
      <c:catAx>
        <c:axId val="143870592"/>
        <c:scaling>
          <c:orientation val="minMax"/>
        </c:scaling>
        <c:axPos val="b"/>
        <c:majorTickMark val="none"/>
        <c:tickLblPos val="nextTo"/>
        <c:txPr>
          <a:bodyPr/>
          <a:lstStyle/>
          <a:p>
            <a:pPr>
              <a:defRPr sz="1200" b="1"/>
            </a:pPr>
            <a:endParaRPr lang="en-US"/>
          </a:p>
        </c:txPr>
        <c:crossAx val="143892864"/>
        <c:crosses val="autoZero"/>
        <c:auto val="1"/>
        <c:lblAlgn val="ctr"/>
        <c:lblOffset val="100"/>
      </c:catAx>
      <c:valAx>
        <c:axId val="143892864"/>
        <c:scaling>
          <c:orientation val="minMax"/>
        </c:scaling>
        <c:axPos val="l"/>
        <c:majorGridlines/>
        <c:numFmt formatCode="0%" sourceLinked="0"/>
        <c:majorTickMark val="none"/>
        <c:tickLblPos val="nextTo"/>
        <c:crossAx val="143870592"/>
        <c:crosses val="autoZero"/>
        <c:crossBetween val="between"/>
      </c:valAx>
    </c:plotArea>
    <c:plotVisOnly val="1"/>
    <c:dispBlanksAs val="gap"/>
  </c:chart>
</c:chartSpace>
</file>

<file path=xl/charts/chart8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2010-11 </a:t>
            </a:r>
            <a:endParaRPr lang="en-US"/>
          </a:p>
          <a:p>
            <a:pPr>
              <a:defRPr lang="en-US"/>
            </a:pPr>
            <a:r>
              <a:rPr lang="en-US" sz="1800" b="1" i="0" baseline="0"/>
              <a:t>Newfoundland and Labrador</a:t>
            </a:r>
          </a:p>
        </c:rich>
      </c:tx>
    </c:title>
    <c:plotArea>
      <c:layout>
        <c:manualLayout>
          <c:layoutTarget val="inner"/>
          <c:xMode val="edge"/>
          <c:yMode val="edge"/>
          <c:x val="6.6930594805195434E-2"/>
          <c:y val="0.1916496229970977"/>
          <c:w val="0.875566099466633"/>
          <c:h val="0.67598494845315615"/>
        </c:manualLayout>
      </c:layout>
      <c:barChart>
        <c:barDir val="col"/>
        <c:grouping val="clustered"/>
        <c:ser>
          <c:idx val="5"/>
          <c:order val="0"/>
          <c:spPr>
            <a:solidFill>
              <a:schemeClr val="accent3"/>
            </a:solidFill>
          </c:spPr>
          <c:dLbls>
            <c:txPr>
              <a:bodyPr/>
              <a:lstStyle/>
              <a:p>
                <a:pPr>
                  <a:defRPr lang="en-US" sz="1200" b="1" i="0" baseline="0"/>
                </a:pPr>
                <a:endParaRPr lang="en-US"/>
              </a:p>
            </c:txPr>
            <c:showVal val="1"/>
          </c:dLbls>
          <c:cat>
            <c:strRef>
              <c:f>NFLD!$A$260:$A$268</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NFLD!$G$260:$G$268</c:f>
              <c:numCache>
                <c:formatCode>0.0%</c:formatCode>
                <c:ptCount val="9"/>
                <c:pt idx="0">
                  <c:v>0.20087719298245596</c:v>
                </c:pt>
                <c:pt idx="1">
                  <c:v>0.10478771454381205</c:v>
                </c:pt>
                <c:pt idx="2">
                  <c:v>0.45</c:v>
                </c:pt>
                <c:pt idx="3">
                  <c:v>0.25805152979066037</c:v>
                </c:pt>
                <c:pt idx="4">
                  <c:v>6.4346997140133463E-2</c:v>
                </c:pt>
                <c:pt idx="5">
                  <c:v>1.2289473684210528</c:v>
                </c:pt>
                <c:pt idx="6">
                  <c:v>6.7124738946351389E-2</c:v>
                </c:pt>
                <c:pt idx="7">
                  <c:v>0.23369565217391311</c:v>
                </c:pt>
                <c:pt idx="8">
                  <c:v>0.12727272727272726</c:v>
                </c:pt>
              </c:numCache>
            </c:numRef>
          </c:val>
        </c:ser>
        <c:dLbls/>
        <c:gapWidth val="50"/>
        <c:axId val="143958400"/>
        <c:axId val="143959936"/>
      </c:barChart>
      <c:catAx>
        <c:axId val="143958400"/>
        <c:scaling>
          <c:orientation val="minMax"/>
        </c:scaling>
        <c:axPos val="b"/>
        <c:majorTickMark val="none"/>
        <c:tickLblPos val="nextTo"/>
        <c:txPr>
          <a:bodyPr/>
          <a:lstStyle/>
          <a:p>
            <a:pPr>
              <a:defRPr lang="en-US" sz="1050" b="1" i="0" baseline="0"/>
            </a:pPr>
            <a:endParaRPr lang="en-US"/>
          </a:p>
        </c:txPr>
        <c:crossAx val="143959936"/>
        <c:crosses val="autoZero"/>
        <c:auto val="1"/>
        <c:lblAlgn val="ctr"/>
        <c:lblOffset val="100"/>
      </c:catAx>
      <c:valAx>
        <c:axId val="143959936"/>
        <c:scaling>
          <c:orientation val="minMax"/>
        </c:scaling>
        <c:axPos val="l"/>
        <c:majorGridlines/>
        <c:numFmt formatCode="0%" sourceLinked="0"/>
        <c:majorTickMark val="none"/>
        <c:tickLblPos val="nextTo"/>
        <c:txPr>
          <a:bodyPr/>
          <a:lstStyle/>
          <a:p>
            <a:pPr>
              <a:defRPr lang="en-US"/>
            </a:pPr>
            <a:endParaRPr lang="en-US"/>
          </a:p>
        </c:txPr>
        <c:crossAx val="143958400"/>
        <c:crosses val="autoZero"/>
        <c:crossBetween val="between"/>
      </c:valAx>
    </c:plotArea>
    <c:plotVisOnly val="1"/>
    <c:dispBlanksAs val="gap"/>
  </c:chart>
</c:chartSpace>
</file>

<file path=xl/charts/chart8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2009-10 </a:t>
            </a:r>
          </a:p>
          <a:p>
            <a:pPr>
              <a:defRPr lang="en-US"/>
            </a:pPr>
            <a:r>
              <a:rPr lang="en-US" sz="1800" b="1" i="0" baseline="0"/>
              <a:t>Newfoundland and Labrador</a:t>
            </a:r>
          </a:p>
        </c:rich>
      </c:tx>
    </c:title>
    <c:plotArea>
      <c:layout>
        <c:manualLayout>
          <c:layoutTarget val="inner"/>
          <c:xMode val="edge"/>
          <c:yMode val="edge"/>
          <c:x val="5.5814774121444505E-2"/>
          <c:y val="0.19961171224677732"/>
          <c:w val="0.92808586296158313"/>
          <c:h val="0.66492531841215496"/>
        </c:manualLayout>
      </c:layout>
      <c:barChart>
        <c:barDir val="col"/>
        <c:grouping val="clustered"/>
        <c:ser>
          <c:idx val="2"/>
          <c:order val="0"/>
          <c:tx>
            <c:strRef>
              <c:f>NFLD!$E$259</c:f>
              <c:strCache>
                <c:ptCount val="1"/>
                <c:pt idx="0">
                  <c:v>% change since 2005-06</c:v>
                </c:pt>
              </c:strCache>
            </c:strRef>
          </c:tx>
          <c:spPr>
            <a:solidFill>
              <a:srgbClr val="1F497D">
                <a:lumMod val="60000"/>
                <a:lumOff val="40000"/>
              </a:srgbClr>
            </a:solidFill>
          </c:spPr>
          <c:dLbls>
            <c:txPr>
              <a:bodyPr/>
              <a:lstStyle/>
              <a:p>
                <a:pPr>
                  <a:defRPr lang="en-US" sz="1200" b="1" i="0" baseline="0"/>
                </a:pPr>
                <a:endParaRPr lang="en-US"/>
              </a:p>
            </c:txPr>
            <c:showVal val="1"/>
          </c:dLbls>
          <c:cat>
            <c:strRef>
              <c:f>NFLD!$A$260:$A$268</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NFLD!$E$260:$E$268</c:f>
              <c:numCache>
                <c:formatCode>0.0%</c:formatCode>
                <c:ptCount val="9"/>
                <c:pt idx="0">
                  <c:v>0.12308114035087693</c:v>
                </c:pt>
                <c:pt idx="1">
                  <c:v>7.4074074074074098E-2</c:v>
                </c:pt>
                <c:pt idx="2">
                  <c:v>0.45</c:v>
                </c:pt>
                <c:pt idx="3">
                  <c:v>0.2259661835748793</c:v>
                </c:pt>
                <c:pt idx="4">
                  <c:v>3.7178265014299251E-2</c:v>
                </c:pt>
                <c:pt idx="5">
                  <c:v>1.2587719298245617</c:v>
                </c:pt>
                <c:pt idx="6">
                  <c:v>4.0091944141176276E-2</c:v>
                </c:pt>
                <c:pt idx="7">
                  <c:v>0.19021739130434784</c:v>
                </c:pt>
                <c:pt idx="8">
                  <c:v>5.4545454545454543E-2</c:v>
                </c:pt>
              </c:numCache>
            </c:numRef>
          </c:val>
        </c:ser>
        <c:dLbls/>
        <c:gapWidth val="50"/>
        <c:axId val="144070528"/>
        <c:axId val="144072064"/>
      </c:barChart>
      <c:catAx>
        <c:axId val="144070528"/>
        <c:scaling>
          <c:orientation val="minMax"/>
        </c:scaling>
        <c:axPos val="b"/>
        <c:majorTickMark val="none"/>
        <c:tickLblPos val="nextTo"/>
        <c:txPr>
          <a:bodyPr/>
          <a:lstStyle/>
          <a:p>
            <a:pPr>
              <a:defRPr lang="en-US" sz="1100" b="1"/>
            </a:pPr>
            <a:endParaRPr lang="en-US"/>
          </a:p>
        </c:txPr>
        <c:crossAx val="144072064"/>
        <c:crosses val="autoZero"/>
        <c:auto val="1"/>
        <c:lblAlgn val="ctr"/>
        <c:lblOffset val="100"/>
      </c:catAx>
      <c:valAx>
        <c:axId val="144072064"/>
        <c:scaling>
          <c:orientation val="minMax"/>
        </c:scaling>
        <c:axPos val="l"/>
        <c:majorGridlines/>
        <c:numFmt formatCode="0%" sourceLinked="0"/>
        <c:majorTickMark val="none"/>
        <c:tickLblPos val="nextTo"/>
        <c:txPr>
          <a:bodyPr/>
          <a:lstStyle/>
          <a:p>
            <a:pPr>
              <a:defRPr lang="en-US"/>
            </a:pPr>
            <a:endParaRPr lang="en-US"/>
          </a:p>
        </c:txPr>
        <c:crossAx val="144070528"/>
        <c:crosses val="autoZero"/>
        <c:crossBetween val="between"/>
      </c:valAx>
    </c:plotArea>
    <c:plotVisOnly val="1"/>
    <c:dispBlanksAs val="gap"/>
  </c:chart>
</c:chartSpace>
</file>

<file path=xl/charts/chart8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endParaRPr lang="en-CA"/>
          </a:p>
          <a:p>
            <a:pPr>
              <a:defRPr/>
            </a:pPr>
            <a:r>
              <a:rPr lang="en-US" sz="1800" b="1" i="0" baseline="0"/>
              <a:t>Percentage Change in Expenditures from 2005-06 to </a:t>
            </a:r>
            <a:endParaRPr lang="en-CA"/>
          </a:p>
          <a:p>
            <a:pPr>
              <a:defRPr/>
            </a:pPr>
            <a:r>
              <a:rPr lang="en-US" sz="1800" b="1" i="0" baseline="0"/>
              <a:t>2009-10, 2010-11 and 2011-12</a:t>
            </a:r>
            <a:endParaRPr lang="en-CA"/>
          </a:p>
          <a:p>
            <a:pPr>
              <a:defRPr/>
            </a:pPr>
            <a:r>
              <a:rPr lang="en-US" sz="1800" b="1" i="0" baseline="0"/>
              <a:t>Newfoundland and Labrador</a:t>
            </a:r>
            <a:endParaRPr lang="en-CA"/>
          </a:p>
        </c:rich>
      </c:tx>
    </c:title>
    <c:plotArea>
      <c:layout>
        <c:manualLayout>
          <c:layoutTarget val="inner"/>
          <c:xMode val="edge"/>
          <c:yMode val="edge"/>
          <c:x val="4.8534166115384456E-2"/>
          <c:y val="0.20379082466895737"/>
          <c:w val="0.92803057563083768"/>
          <c:h val="0.64757347693711664"/>
        </c:manualLayout>
      </c:layout>
      <c:barChart>
        <c:barDir val="col"/>
        <c:grouping val="clustered"/>
        <c:ser>
          <c:idx val="3"/>
          <c:order val="0"/>
          <c:spPr>
            <a:solidFill>
              <a:schemeClr val="accent1"/>
            </a:solidFill>
          </c:spPr>
          <c:cat>
            <c:strRef>
              <c:f>NFLD!$A$260:$A$268</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NFLD!$E$260:$E$268</c:f>
              <c:numCache>
                <c:formatCode>0.0%</c:formatCode>
                <c:ptCount val="9"/>
                <c:pt idx="0">
                  <c:v>0.12308114035087693</c:v>
                </c:pt>
                <c:pt idx="1">
                  <c:v>7.4074074074074098E-2</c:v>
                </c:pt>
                <c:pt idx="2">
                  <c:v>0.45</c:v>
                </c:pt>
                <c:pt idx="3">
                  <c:v>0.2259661835748793</c:v>
                </c:pt>
                <c:pt idx="4">
                  <c:v>3.7178265014299251E-2</c:v>
                </c:pt>
                <c:pt idx="5">
                  <c:v>1.2587719298245617</c:v>
                </c:pt>
                <c:pt idx="6">
                  <c:v>4.0091944141176276E-2</c:v>
                </c:pt>
                <c:pt idx="7">
                  <c:v>0.19021739130434784</c:v>
                </c:pt>
                <c:pt idx="8">
                  <c:v>5.4545454545454543E-2</c:v>
                </c:pt>
              </c:numCache>
            </c:numRef>
          </c:val>
        </c:ser>
        <c:ser>
          <c:idx val="5"/>
          <c:order val="1"/>
          <c:spPr>
            <a:solidFill>
              <a:schemeClr val="accent3"/>
            </a:solidFill>
          </c:spPr>
          <c:cat>
            <c:strRef>
              <c:f>NFLD!$A$260:$A$268</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NFLD!$G$260:$G$268</c:f>
              <c:numCache>
                <c:formatCode>0.0%</c:formatCode>
                <c:ptCount val="9"/>
                <c:pt idx="0">
                  <c:v>0.20087719298245596</c:v>
                </c:pt>
                <c:pt idx="1">
                  <c:v>0.10478771454381205</c:v>
                </c:pt>
                <c:pt idx="2">
                  <c:v>0.45</c:v>
                </c:pt>
                <c:pt idx="3">
                  <c:v>0.25805152979066037</c:v>
                </c:pt>
                <c:pt idx="4">
                  <c:v>6.4346997140133463E-2</c:v>
                </c:pt>
                <c:pt idx="5">
                  <c:v>1.2289473684210528</c:v>
                </c:pt>
                <c:pt idx="6">
                  <c:v>6.7124738946351389E-2</c:v>
                </c:pt>
                <c:pt idx="7">
                  <c:v>0.23369565217391311</c:v>
                </c:pt>
                <c:pt idx="8">
                  <c:v>0.12727272727272726</c:v>
                </c:pt>
              </c:numCache>
            </c:numRef>
          </c:val>
        </c:ser>
        <c:ser>
          <c:idx val="7"/>
          <c:order val="2"/>
          <c:spPr>
            <a:solidFill>
              <a:schemeClr val="accent6">
                <a:lumMod val="75000"/>
              </a:schemeClr>
            </a:solidFill>
          </c:spPr>
          <c:cat>
            <c:strRef>
              <c:f>NFLD!$A$260:$A$268</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NFLD!$I$260:$I$268</c:f>
              <c:numCache>
                <c:formatCode>0.0%</c:formatCode>
                <c:ptCount val="9"/>
                <c:pt idx="0">
                  <c:v>0.26560307017543833</c:v>
                </c:pt>
                <c:pt idx="1">
                  <c:v>0.13550135501355012</c:v>
                </c:pt>
                <c:pt idx="2">
                  <c:v>0.60500000000000009</c:v>
                </c:pt>
                <c:pt idx="3">
                  <c:v>0.23456790123456797</c:v>
                </c:pt>
                <c:pt idx="4">
                  <c:v>7.8169685414680543E-2</c:v>
                </c:pt>
                <c:pt idx="5">
                  <c:v>1.2105263157894735</c:v>
                </c:pt>
                <c:pt idx="6">
                  <c:v>8.0870521194322739E-2</c:v>
                </c:pt>
                <c:pt idx="7">
                  <c:v>0.26086956521739135</c:v>
                </c:pt>
                <c:pt idx="8">
                  <c:v>0.23636363636363636</c:v>
                </c:pt>
              </c:numCache>
            </c:numRef>
          </c:val>
        </c:ser>
        <c:dLbls/>
        <c:gapWidth val="75"/>
        <c:axId val="144287616"/>
        <c:axId val="144289152"/>
      </c:barChart>
      <c:catAx>
        <c:axId val="144287616"/>
        <c:scaling>
          <c:orientation val="minMax"/>
        </c:scaling>
        <c:axPos val="b"/>
        <c:majorTickMark val="none"/>
        <c:tickLblPos val="nextTo"/>
        <c:txPr>
          <a:bodyPr/>
          <a:lstStyle/>
          <a:p>
            <a:pPr>
              <a:defRPr sz="1050" b="1"/>
            </a:pPr>
            <a:endParaRPr lang="en-US"/>
          </a:p>
        </c:txPr>
        <c:crossAx val="144289152"/>
        <c:crosses val="autoZero"/>
        <c:auto val="1"/>
        <c:lblAlgn val="ctr"/>
        <c:lblOffset val="100"/>
      </c:catAx>
      <c:valAx>
        <c:axId val="144289152"/>
        <c:scaling>
          <c:orientation val="minMax"/>
        </c:scaling>
        <c:axPos val="l"/>
        <c:majorGridlines/>
        <c:numFmt formatCode="0%" sourceLinked="0"/>
        <c:majorTickMark val="none"/>
        <c:tickLblPos val="nextTo"/>
        <c:crossAx val="144287616"/>
        <c:crosses val="autoZero"/>
        <c:crossBetween val="between"/>
      </c:valAx>
    </c:plotArea>
    <c:plotVisOnly val="1"/>
    <c:dispBlanksAs val="gap"/>
  </c:chart>
  <c:userShapes r:id="rId1"/>
</c:chartSpace>
</file>

<file path=xl/charts/chart8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a:t>
            </a:r>
          </a:p>
          <a:p>
            <a:pPr>
              <a:defRPr lang="en-US"/>
            </a:pPr>
            <a:r>
              <a:rPr lang="en-US" sz="1800" b="1" i="0" baseline="0"/>
              <a:t>2009-10 and 2010-11 </a:t>
            </a:r>
          </a:p>
          <a:p>
            <a:pPr>
              <a:defRPr lang="en-US"/>
            </a:pPr>
            <a:r>
              <a:rPr lang="en-US" sz="1800" b="1" i="0" baseline="0"/>
              <a:t>Newfoundland and Labrador</a:t>
            </a:r>
            <a:endParaRPr lang="en-US"/>
          </a:p>
        </c:rich>
      </c:tx>
    </c:title>
    <c:plotArea>
      <c:layout>
        <c:manualLayout>
          <c:layoutTarget val="inner"/>
          <c:xMode val="edge"/>
          <c:yMode val="edge"/>
          <c:x val="8.1566379275177597E-2"/>
          <c:y val="0.2057596545788084"/>
          <c:w val="0.88142041325462761"/>
          <c:h val="0.65784347927666564"/>
        </c:manualLayout>
      </c:layout>
      <c:barChart>
        <c:barDir val="col"/>
        <c:grouping val="clustered"/>
        <c:ser>
          <c:idx val="3"/>
          <c:order val="0"/>
          <c:spPr>
            <a:solidFill>
              <a:schemeClr val="accent1"/>
            </a:solidFill>
          </c:spPr>
          <c:cat>
            <c:strRef>
              <c:f>NFLD!$A$260:$A$268</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NFLD!$E$260:$E$268</c:f>
              <c:numCache>
                <c:formatCode>0.0%</c:formatCode>
                <c:ptCount val="9"/>
                <c:pt idx="0">
                  <c:v>0.12308114035087693</c:v>
                </c:pt>
                <c:pt idx="1">
                  <c:v>7.4074074074074098E-2</c:v>
                </c:pt>
                <c:pt idx="2">
                  <c:v>0.45</c:v>
                </c:pt>
                <c:pt idx="3">
                  <c:v>0.2259661835748793</c:v>
                </c:pt>
                <c:pt idx="4">
                  <c:v>3.7178265014299251E-2</c:v>
                </c:pt>
                <c:pt idx="5">
                  <c:v>1.2587719298245617</c:v>
                </c:pt>
                <c:pt idx="6">
                  <c:v>4.0091944141176276E-2</c:v>
                </c:pt>
                <c:pt idx="7">
                  <c:v>0.19021739130434784</c:v>
                </c:pt>
                <c:pt idx="8">
                  <c:v>5.4545454545454543E-2</c:v>
                </c:pt>
              </c:numCache>
            </c:numRef>
          </c:val>
        </c:ser>
        <c:ser>
          <c:idx val="5"/>
          <c:order val="1"/>
          <c:spPr>
            <a:solidFill>
              <a:schemeClr val="accent3"/>
            </a:solidFill>
          </c:spPr>
          <c:cat>
            <c:strRef>
              <c:f>NFLD!$A$260:$A$268</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NFLD!$G$260:$G$268</c:f>
              <c:numCache>
                <c:formatCode>0.0%</c:formatCode>
                <c:ptCount val="9"/>
                <c:pt idx="0">
                  <c:v>0.20087719298245596</c:v>
                </c:pt>
                <c:pt idx="1">
                  <c:v>0.10478771454381205</c:v>
                </c:pt>
                <c:pt idx="2">
                  <c:v>0.45</c:v>
                </c:pt>
                <c:pt idx="3">
                  <c:v>0.25805152979066037</c:v>
                </c:pt>
                <c:pt idx="4">
                  <c:v>6.4346997140133463E-2</c:v>
                </c:pt>
                <c:pt idx="5">
                  <c:v>1.2289473684210528</c:v>
                </c:pt>
                <c:pt idx="6">
                  <c:v>6.7124738946351389E-2</c:v>
                </c:pt>
                <c:pt idx="7">
                  <c:v>0.23369565217391311</c:v>
                </c:pt>
                <c:pt idx="8">
                  <c:v>0.12727272727272726</c:v>
                </c:pt>
              </c:numCache>
            </c:numRef>
          </c:val>
        </c:ser>
        <c:dLbls/>
        <c:gapWidth val="75"/>
        <c:axId val="144438016"/>
        <c:axId val="144439552"/>
      </c:barChart>
      <c:catAx>
        <c:axId val="144438016"/>
        <c:scaling>
          <c:orientation val="minMax"/>
        </c:scaling>
        <c:axPos val="b"/>
        <c:majorTickMark val="none"/>
        <c:tickLblPos val="nextTo"/>
        <c:txPr>
          <a:bodyPr/>
          <a:lstStyle/>
          <a:p>
            <a:pPr>
              <a:defRPr lang="en-US" sz="1050" b="1" i="0" baseline="0"/>
            </a:pPr>
            <a:endParaRPr lang="en-US"/>
          </a:p>
        </c:txPr>
        <c:crossAx val="144439552"/>
        <c:crosses val="autoZero"/>
        <c:auto val="1"/>
        <c:lblAlgn val="ctr"/>
        <c:lblOffset val="100"/>
      </c:catAx>
      <c:valAx>
        <c:axId val="144439552"/>
        <c:scaling>
          <c:orientation val="minMax"/>
          <c:max val="1.4"/>
        </c:scaling>
        <c:axPos val="l"/>
        <c:majorGridlines/>
        <c:numFmt formatCode="0%" sourceLinked="0"/>
        <c:majorTickMark val="none"/>
        <c:tickLblPos val="nextTo"/>
        <c:txPr>
          <a:bodyPr/>
          <a:lstStyle/>
          <a:p>
            <a:pPr>
              <a:defRPr lang="en-US"/>
            </a:pPr>
            <a:endParaRPr lang="en-US"/>
          </a:p>
        </c:txPr>
        <c:crossAx val="144438016"/>
        <c:crosses val="autoZero"/>
        <c:crossBetween val="between"/>
      </c:valAx>
    </c:plotArea>
    <c:plotVisOnly val="1"/>
    <c:dispBlanksAs val="gap"/>
  </c:chart>
  <c:userShapes r:id="rId1"/>
</c:chartSpace>
</file>

<file path=xl/charts/chart8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p>
          <a:p>
            <a:pPr>
              <a:defRPr/>
            </a:pPr>
            <a:r>
              <a:rPr lang="en-US" sz="1800" b="1" i="0" baseline="0"/>
              <a:t>Percentage Change in Expenditures from 2005-06 to </a:t>
            </a:r>
            <a:endParaRPr lang="en-CA"/>
          </a:p>
          <a:p>
            <a:pPr>
              <a:defRPr/>
            </a:pPr>
            <a:r>
              <a:rPr lang="en-US" sz="1800" b="1" i="0" baseline="0"/>
              <a:t>2009-10, 2010-11 and 2011-12</a:t>
            </a:r>
          </a:p>
          <a:p>
            <a:pPr>
              <a:defRPr/>
            </a:pPr>
            <a:r>
              <a:rPr lang="en-US" sz="1800" b="1" i="0" baseline="0"/>
              <a:t>Newfoundland and Labrador</a:t>
            </a:r>
            <a:endParaRPr lang="en-CA"/>
          </a:p>
        </c:rich>
      </c:tx>
    </c:title>
    <c:plotArea>
      <c:layout/>
      <c:barChart>
        <c:barDir val="col"/>
        <c:grouping val="clustered"/>
        <c:ser>
          <c:idx val="0"/>
          <c:order val="0"/>
          <c:tx>
            <c:strRef>
              <c:f>NFLD!$E$271</c:f>
              <c:strCache>
                <c:ptCount val="1"/>
                <c:pt idx="0">
                  <c:v>2009-10</c:v>
                </c:pt>
              </c:strCache>
            </c:strRef>
          </c:tx>
          <c:dLbls>
            <c:dLbl>
              <c:idx val="0"/>
              <c:layout>
                <c:manualLayout>
                  <c:x val="0"/>
                  <c:y val="-1.2106083608871186E-2"/>
                </c:manualLayout>
              </c:layout>
              <c:showVal val="1"/>
            </c:dLbl>
            <c:dLbl>
              <c:idx val="2"/>
              <c:layout>
                <c:manualLayout>
                  <c:x val="0"/>
                  <c:y val="-1.0088403007392655E-2"/>
                </c:manualLayout>
              </c:layout>
              <c:showVal val="1"/>
            </c:dLbl>
            <c:txPr>
              <a:bodyPr/>
              <a:lstStyle/>
              <a:p>
                <a:pPr>
                  <a:defRPr sz="1400" b="1"/>
                </a:pPr>
                <a:endParaRPr lang="en-US"/>
              </a:p>
            </c:txPr>
            <c:showVal val="1"/>
          </c:dLbls>
          <c:cat>
            <c:strRef>
              <c:f>NFLD!$A$272:$A$274</c:f>
              <c:strCache>
                <c:ptCount val="3"/>
                <c:pt idx="0">
                  <c:v>Income Assistance for the Disabled (IAD) &amp; FN</c:v>
                </c:pt>
                <c:pt idx="1">
                  <c:v>Total Income Support for the Disabled</c:v>
                </c:pt>
                <c:pt idx="2">
                  <c:v>Total Income Support for the Disabled excl. IAD</c:v>
                </c:pt>
              </c:strCache>
            </c:strRef>
          </c:cat>
          <c:val>
            <c:numRef>
              <c:f>NFLD!$E$272:$E$274</c:f>
              <c:numCache>
                <c:formatCode>0.0%</c:formatCode>
                <c:ptCount val="3"/>
                <c:pt idx="0">
                  <c:v>4.0091944141176276E-2</c:v>
                </c:pt>
                <c:pt idx="1">
                  <c:v>0.12576014094819221</c:v>
                </c:pt>
                <c:pt idx="2">
                  <c:v>0.13999235309731187</c:v>
                </c:pt>
              </c:numCache>
            </c:numRef>
          </c:val>
        </c:ser>
        <c:ser>
          <c:idx val="1"/>
          <c:order val="1"/>
          <c:tx>
            <c:strRef>
              <c:f>NFLD!$G$271</c:f>
              <c:strCache>
                <c:ptCount val="1"/>
                <c:pt idx="0">
                  <c:v>2010-11</c:v>
                </c:pt>
              </c:strCache>
            </c:strRef>
          </c:tx>
          <c:dLbls>
            <c:txPr>
              <a:bodyPr/>
              <a:lstStyle/>
              <a:p>
                <a:pPr>
                  <a:defRPr sz="1400" b="1"/>
                </a:pPr>
                <a:endParaRPr lang="en-US"/>
              </a:p>
            </c:txPr>
            <c:showVal val="1"/>
          </c:dLbls>
          <c:cat>
            <c:strRef>
              <c:f>NFLD!$A$272:$A$274</c:f>
              <c:strCache>
                <c:ptCount val="3"/>
                <c:pt idx="0">
                  <c:v>Income Assistance for the Disabled (IAD) &amp; FN</c:v>
                </c:pt>
                <c:pt idx="1">
                  <c:v>Total Income Support for the Disabled</c:v>
                </c:pt>
                <c:pt idx="2">
                  <c:v>Total Income Support for the Disabled excl. IAD</c:v>
                </c:pt>
              </c:strCache>
            </c:strRef>
          </c:cat>
          <c:val>
            <c:numRef>
              <c:f>NFLD!$G$272:$G$274</c:f>
              <c:numCache>
                <c:formatCode>0.0%</c:formatCode>
                <c:ptCount val="3"/>
                <c:pt idx="0">
                  <c:v>6.7124738946351389E-2</c:v>
                </c:pt>
                <c:pt idx="1">
                  <c:v>0.16669342955327224</c:v>
                </c:pt>
                <c:pt idx="2">
                  <c:v>0.18323495582491772</c:v>
                </c:pt>
              </c:numCache>
            </c:numRef>
          </c:val>
        </c:ser>
        <c:ser>
          <c:idx val="2"/>
          <c:order val="2"/>
          <c:tx>
            <c:strRef>
              <c:f>NFLD!$I$271</c:f>
              <c:strCache>
                <c:ptCount val="1"/>
                <c:pt idx="0">
                  <c:v>2011-12</c:v>
                </c:pt>
              </c:strCache>
            </c:strRef>
          </c:tx>
          <c:dLbls>
            <c:txPr>
              <a:bodyPr/>
              <a:lstStyle/>
              <a:p>
                <a:pPr>
                  <a:defRPr sz="1400" b="1"/>
                </a:pPr>
                <a:endParaRPr lang="en-US"/>
              </a:p>
            </c:txPr>
            <c:showVal val="1"/>
          </c:dLbls>
          <c:cat>
            <c:strRef>
              <c:f>NFLD!$A$272:$A$274</c:f>
              <c:strCache>
                <c:ptCount val="3"/>
                <c:pt idx="0">
                  <c:v>Income Assistance for the Disabled (IAD) &amp; FN</c:v>
                </c:pt>
                <c:pt idx="1">
                  <c:v>Total Income Support for the Disabled</c:v>
                </c:pt>
                <c:pt idx="2">
                  <c:v>Total Income Support for the Disabled excl. IAD</c:v>
                </c:pt>
              </c:strCache>
            </c:strRef>
          </c:cat>
          <c:val>
            <c:numRef>
              <c:f>NFLD!$I$272:$I$274</c:f>
              <c:numCache>
                <c:formatCode>0.0%</c:formatCode>
                <c:ptCount val="3"/>
                <c:pt idx="0">
                  <c:v>8.0870521194322739E-2</c:v>
                </c:pt>
                <c:pt idx="1">
                  <c:v>0.21084430720072506</c:v>
                </c:pt>
                <c:pt idx="2">
                  <c:v>0.23243708684606362</c:v>
                </c:pt>
              </c:numCache>
            </c:numRef>
          </c:val>
        </c:ser>
        <c:dLbls/>
        <c:gapWidth val="75"/>
        <c:axId val="149058304"/>
        <c:axId val="149059840"/>
      </c:barChart>
      <c:catAx>
        <c:axId val="149058304"/>
        <c:scaling>
          <c:orientation val="minMax"/>
        </c:scaling>
        <c:delete val="1"/>
        <c:axPos val="b"/>
        <c:majorTickMark val="none"/>
        <c:tickLblPos val="none"/>
        <c:crossAx val="149059840"/>
        <c:crosses val="autoZero"/>
        <c:auto val="1"/>
        <c:lblAlgn val="ctr"/>
        <c:lblOffset val="100"/>
      </c:catAx>
      <c:valAx>
        <c:axId val="149059840"/>
        <c:scaling>
          <c:orientation val="minMax"/>
        </c:scaling>
        <c:axPos val="l"/>
        <c:majorGridlines/>
        <c:numFmt formatCode="0%" sourceLinked="0"/>
        <c:majorTickMark val="none"/>
        <c:tickLblPos val="nextTo"/>
        <c:crossAx val="149058304"/>
        <c:crosses val="autoZero"/>
        <c:crossBetween val="between"/>
      </c:valAx>
    </c:plotArea>
    <c:legend>
      <c:legendPos val="b"/>
      <c:txPr>
        <a:bodyPr/>
        <a:lstStyle/>
        <a:p>
          <a:pPr>
            <a:defRPr sz="1400" b="1"/>
          </a:pPr>
          <a:endParaRPr lang="en-US"/>
        </a:p>
      </c:txPr>
    </c:legend>
    <c:plotVisOnly val="1"/>
    <c:dispBlanksAs val="gap"/>
  </c:chart>
  <c:userShapes r:id="rId1"/>
</c:chartSpace>
</file>

<file path=xl/charts/chart8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a:t>
            </a:r>
          </a:p>
          <a:p>
            <a:pPr>
              <a:defRPr lang="en-US"/>
            </a:pPr>
            <a:r>
              <a:rPr lang="en-US" sz="1800" b="1" i="0" baseline="0"/>
              <a:t>2009-10 and 2010-11</a:t>
            </a:r>
            <a:endParaRPr lang="en-US"/>
          </a:p>
          <a:p>
            <a:pPr>
              <a:defRPr lang="en-US"/>
            </a:pPr>
            <a:r>
              <a:rPr lang="en-US" sz="1800" b="1" i="0" baseline="0"/>
              <a:t>Newfoundland and Labrador</a:t>
            </a:r>
            <a:endParaRPr lang="en-US"/>
          </a:p>
        </c:rich>
      </c:tx>
    </c:title>
    <c:plotArea>
      <c:layout>
        <c:manualLayout>
          <c:layoutTarget val="inner"/>
          <c:xMode val="edge"/>
          <c:yMode val="edge"/>
          <c:x val="6.0973945768310688E-2"/>
          <c:y val="0.20172821698403393"/>
          <c:w val="0.84175006182754619"/>
          <c:h val="0.70906289391827482"/>
        </c:manualLayout>
      </c:layout>
      <c:barChart>
        <c:barDir val="col"/>
        <c:grouping val="clustered"/>
        <c:ser>
          <c:idx val="0"/>
          <c:order val="0"/>
          <c:tx>
            <c:strRef>
              <c:f>NFLD!$E$271</c:f>
              <c:strCache>
                <c:ptCount val="1"/>
                <c:pt idx="0">
                  <c:v>2009-10</c:v>
                </c:pt>
              </c:strCache>
            </c:strRef>
          </c:tx>
          <c:dLbls>
            <c:txPr>
              <a:bodyPr/>
              <a:lstStyle/>
              <a:p>
                <a:pPr>
                  <a:defRPr lang="en-US" sz="1400" b="1" i="0" baseline="0"/>
                </a:pPr>
                <a:endParaRPr lang="en-US"/>
              </a:p>
            </c:txPr>
            <c:showVal val="1"/>
          </c:dLbls>
          <c:cat>
            <c:strRef>
              <c:f>NFLD!$A$272:$A$274</c:f>
              <c:strCache>
                <c:ptCount val="3"/>
                <c:pt idx="0">
                  <c:v>Income Assistance for the Disabled (IAD) &amp; FN</c:v>
                </c:pt>
                <c:pt idx="1">
                  <c:v>Total Income Support for the Disabled</c:v>
                </c:pt>
                <c:pt idx="2">
                  <c:v>Total Income Support for the Disabled excl. IAD</c:v>
                </c:pt>
              </c:strCache>
            </c:strRef>
          </c:cat>
          <c:val>
            <c:numRef>
              <c:f>NFLD!$E$272:$E$274</c:f>
              <c:numCache>
                <c:formatCode>0.0%</c:formatCode>
                <c:ptCount val="3"/>
                <c:pt idx="0">
                  <c:v>4.0091944141176276E-2</c:v>
                </c:pt>
                <c:pt idx="1">
                  <c:v>0.12576014094819221</c:v>
                </c:pt>
                <c:pt idx="2">
                  <c:v>0.13999235309731187</c:v>
                </c:pt>
              </c:numCache>
            </c:numRef>
          </c:val>
        </c:ser>
        <c:ser>
          <c:idx val="1"/>
          <c:order val="1"/>
          <c:tx>
            <c:strRef>
              <c:f>NFLD!$G$271</c:f>
              <c:strCache>
                <c:ptCount val="1"/>
                <c:pt idx="0">
                  <c:v>2010-11</c:v>
                </c:pt>
              </c:strCache>
            </c:strRef>
          </c:tx>
          <c:spPr>
            <a:solidFill>
              <a:schemeClr val="accent3"/>
            </a:solidFill>
          </c:spPr>
          <c:dLbls>
            <c:txPr>
              <a:bodyPr/>
              <a:lstStyle/>
              <a:p>
                <a:pPr>
                  <a:defRPr lang="en-US" sz="1400" b="1" i="0" baseline="0"/>
                </a:pPr>
                <a:endParaRPr lang="en-US"/>
              </a:p>
            </c:txPr>
            <c:showVal val="1"/>
          </c:dLbls>
          <c:cat>
            <c:strRef>
              <c:f>NFLD!$A$272:$A$274</c:f>
              <c:strCache>
                <c:ptCount val="3"/>
                <c:pt idx="0">
                  <c:v>Income Assistance for the Disabled (IAD) &amp; FN</c:v>
                </c:pt>
                <c:pt idx="1">
                  <c:v>Total Income Support for the Disabled</c:v>
                </c:pt>
                <c:pt idx="2">
                  <c:v>Total Income Support for the Disabled excl. IAD</c:v>
                </c:pt>
              </c:strCache>
            </c:strRef>
          </c:cat>
          <c:val>
            <c:numRef>
              <c:f>NFLD!$G$272:$G$274</c:f>
              <c:numCache>
                <c:formatCode>0.0%</c:formatCode>
                <c:ptCount val="3"/>
                <c:pt idx="0">
                  <c:v>6.7124738946351389E-2</c:v>
                </c:pt>
                <c:pt idx="1">
                  <c:v>0.16669342955327224</c:v>
                </c:pt>
                <c:pt idx="2">
                  <c:v>0.18323495582491772</c:v>
                </c:pt>
              </c:numCache>
            </c:numRef>
          </c:val>
        </c:ser>
        <c:dLbls/>
        <c:gapWidth val="50"/>
        <c:axId val="149200896"/>
        <c:axId val="149202432"/>
      </c:barChart>
      <c:catAx>
        <c:axId val="149200896"/>
        <c:scaling>
          <c:orientation val="minMax"/>
        </c:scaling>
        <c:delete val="1"/>
        <c:axPos val="b"/>
        <c:majorTickMark val="none"/>
        <c:tickLblPos val="none"/>
        <c:crossAx val="149202432"/>
        <c:crosses val="autoZero"/>
        <c:auto val="1"/>
        <c:lblAlgn val="ctr"/>
        <c:lblOffset val="100"/>
      </c:catAx>
      <c:valAx>
        <c:axId val="149202432"/>
        <c:scaling>
          <c:orientation val="minMax"/>
        </c:scaling>
        <c:axPos val="l"/>
        <c:majorGridlines/>
        <c:numFmt formatCode="0%" sourceLinked="0"/>
        <c:majorTickMark val="none"/>
        <c:tickLblPos val="nextTo"/>
        <c:txPr>
          <a:bodyPr/>
          <a:lstStyle/>
          <a:p>
            <a:pPr>
              <a:defRPr lang="en-US"/>
            </a:pPr>
            <a:endParaRPr lang="en-US"/>
          </a:p>
        </c:txPr>
        <c:crossAx val="149200896"/>
        <c:crosses val="autoZero"/>
        <c:crossBetween val="between"/>
      </c:valAx>
    </c:plotArea>
    <c:legend>
      <c:legendPos val="b"/>
      <c:layout>
        <c:manualLayout>
          <c:xMode val="edge"/>
          <c:yMode val="edge"/>
          <c:x val="0.31898000797939086"/>
          <c:y val="0.9417074757137629"/>
          <c:w val="0.33569557199527433"/>
          <c:h val="4.6198211501913833E-2"/>
        </c:manualLayout>
      </c:layout>
      <c:txPr>
        <a:bodyPr/>
        <a:lstStyle/>
        <a:p>
          <a:pPr>
            <a:defRPr lang="en-US" sz="1400" b="1" i="0" baseline="0"/>
          </a:pPr>
          <a:endParaRPr lang="en-US"/>
        </a:p>
      </c:txPr>
    </c:legend>
    <c:plotVisOnly val="1"/>
    <c:dispBlanksAs val="gap"/>
  </c:chart>
  <c:userShapes r:id="rId1"/>
</c:chartSpace>
</file>

<file path=xl/charts/chart8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PERSONS WITH DISABILITIES:</a:t>
            </a:r>
          </a:p>
          <a:p>
            <a:pPr>
              <a:defRPr lang="en-US"/>
            </a:pPr>
            <a:r>
              <a:rPr lang="en-US" sz="1800" b="1" i="0" baseline="0"/>
              <a:t>PERCENTAGE INCREASE FROM 2005 TO 2013</a:t>
            </a:r>
          </a:p>
          <a:p>
            <a:pPr>
              <a:defRPr lang="en-US"/>
            </a:pPr>
            <a:r>
              <a:rPr lang="en-US" sz="1800" b="1" i="0" baseline="0"/>
              <a:t>NEWFOUNDLAND AND LABRADOR</a:t>
            </a:r>
            <a:endParaRPr lang="en-US"/>
          </a:p>
        </c:rich>
      </c:tx>
    </c:title>
    <c:plotArea>
      <c:layout>
        <c:manualLayout>
          <c:layoutTarget val="inner"/>
          <c:xMode val="edge"/>
          <c:yMode val="edge"/>
          <c:x val="6.379853692861967E-2"/>
          <c:y val="0.21382252976835725"/>
          <c:w val="0.93181072773038631"/>
          <c:h val="0.72963322488660387"/>
        </c:manualLayout>
      </c:layout>
      <c:barChart>
        <c:barDir val="col"/>
        <c:grouping val="clustered"/>
        <c:ser>
          <c:idx val="0"/>
          <c:order val="0"/>
          <c:spPr>
            <a:solidFill>
              <a:srgbClr val="F79646">
                <a:lumMod val="75000"/>
              </a:srgbClr>
            </a:solidFill>
          </c:spPr>
          <c:dLbls>
            <c:txPr>
              <a:bodyPr/>
              <a:lstStyle/>
              <a:p>
                <a:pPr>
                  <a:defRPr sz="1400" b="1"/>
                </a:pPr>
                <a:endParaRPr lang="en-US"/>
              </a:p>
            </c:txPr>
            <c:showVal val="1"/>
          </c:dLbls>
          <c:cat>
            <c:strRef>
              <c:f>NFLD!$A$272:$A$274</c:f>
              <c:strCache>
                <c:ptCount val="3"/>
                <c:pt idx="0">
                  <c:v>Income Assistance for the Disabled (IAD) &amp; FN</c:v>
                </c:pt>
                <c:pt idx="1">
                  <c:v>Total Income Support for the Disabled</c:v>
                </c:pt>
                <c:pt idx="2">
                  <c:v>Total Income Support for the Disabled excl. IAD</c:v>
                </c:pt>
              </c:strCache>
            </c:strRef>
          </c:cat>
          <c:val>
            <c:numRef>
              <c:f>NFLD!$M$272:$M$274</c:f>
              <c:numCache>
                <c:formatCode>0.0%</c:formatCode>
                <c:ptCount val="3"/>
                <c:pt idx="0">
                  <c:v>7.8628731307797864E-2</c:v>
                </c:pt>
                <c:pt idx="1">
                  <c:v>0.31159021405070536</c:v>
                </c:pt>
                <c:pt idx="2">
                  <c:v>0.3502925256266039</c:v>
                </c:pt>
              </c:numCache>
            </c:numRef>
          </c:val>
        </c:ser>
        <c:dLbls/>
        <c:gapWidth val="50"/>
        <c:axId val="149469056"/>
        <c:axId val="149470592"/>
      </c:barChart>
      <c:catAx>
        <c:axId val="149469056"/>
        <c:scaling>
          <c:orientation val="minMax"/>
        </c:scaling>
        <c:delete val="1"/>
        <c:axPos val="b"/>
        <c:majorTickMark val="none"/>
        <c:tickLblPos val="none"/>
        <c:crossAx val="149470592"/>
        <c:crosses val="autoZero"/>
        <c:auto val="1"/>
        <c:lblAlgn val="ctr"/>
        <c:lblOffset val="100"/>
      </c:catAx>
      <c:valAx>
        <c:axId val="149470592"/>
        <c:scaling>
          <c:orientation val="minMax"/>
        </c:scaling>
        <c:axPos val="l"/>
        <c:majorGridlines/>
        <c:numFmt formatCode="0%" sourceLinked="0"/>
        <c:majorTickMark val="none"/>
        <c:tickLblPos val="nextTo"/>
        <c:txPr>
          <a:bodyPr/>
          <a:lstStyle/>
          <a:p>
            <a:pPr>
              <a:defRPr lang="en-US"/>
            </a:pPr>
            <a:endParaRPr lang="en-US"/>
          </a:p>
        </c:txPr>
        <c:crossAx val="149469056"/>
        <c:crosses val="autoZero"/>
        <c:crossBetween val="between"/>
      </c:valAx>
    </c:plotArea>
    <c:plotVisOnly val="1"/>
    <c:dispBlanksAs val="gap"/>
  </c:chart>
  <c:userShapes r:id="rId1"/>
</c:chartSpace>
</file>

<file path=xl/charts/chart8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a:t>
            </a:r>
            <a:endParaRPr lang="en-US"/>
          </a:p>
          <a:p>
            <a:pPr>
              <a:defRPr lang="en-US"/>
            </a:pPr>
            <a:r>
              <a:rPr lang="en-US" sz="1800" b="1" i="0" baseline="0"/>
              <a:t>PERCENTAGE INCREASE FROM 2005-06 TO 2009-10</a:t>
            </a:r>
            <a:endParaRPr lang="en-US"/>
          </a:p>
          <a:p>
            <a:pPr>
              <a:defRPr lang="en-US"/>
            </a:pPr>
            <a:r>
              <a:rPr lang="en-US" sz="1800" b="1" i="0" baseline="0"/>
              <a:t>NEWFOUNDLAND AND LABRADOR</a:t>
            </a:r>
          </a:p>
        </c:rich>
      </c:tx>
    </c:title>
    <c:plotArea>
      <c:layout>
        <c:manualLayout>
          <c:layoutTarget val="inner"/>
          <c:xMode val="edge"/>
          <c:yMode val="edge"/>
          <c:x val="7.1218994897297133E-2"/>
          <c:y val="0.20162743104416544"/>
          <c:w val="0.91999953442072435"/>
          <c:h val="0.69345107247351334"/>
        </c:manualLayout>
      </c:layout>
      <c:barChart>
        <c:barDir val="col"/>
        <c:grouping val="clustered"/>
        <c:ser>
          <c:idx val="3"/>
          <c:order val="0"/>
          <c:spPr>
            <a:solidFill>
              <a:srgbClr val="4F81BD"/>
            </a:solidFill>
          </c:spPr>
          <c:dLbls>
            <c:dLbl>
              <c:idx val="0"/>
              <c:showVal val="1"/>
            </c:dLbl>
            <c:dLbl>
              <c:idx val="1"/>
              <c:showVal val="1"/>
            </c:dLbl>
            <c:dLbl>
              <c:idx val="2"/>
              <c:showVal val="1"/>
            </c:dLbl>
            <c:delete val="1"/>
            <c:txPr>
              <a:bodyPr/>
              <a:lstStyle/>
              <a:p>
                <a:pPr>
                  <a:defRPr sz="1400" b="1"/>
                </a:pPr>
                <a:endParaRPr lang="en-US"/>
              </a:p>
            </c:txPr>
          </c:dLbls>
          <c:cat>
            <c:strRef>
              <c:f>NFLD!$A$272:$A$274</c:f>
              <c:strCache>
                <c:ptCount val="3"/>
                <c:pt idx="0">
                  <c:v>Income Assistance for the Disabled (IAD) &amp; FN</c:v>
                </c:pt>
                <c:pt idx="1">
                  <c:v>Total Income Support for the Disabled</c:v>
                </c:pt>
                <c:pt idx="2">
                  <c:v>Total Income Support for the Disabled excl. IAD</c:v>
                </c:pt>
              </c:strCache>
            </c:strRef>
          </c:cat>
          <c:val>
            <c:numRef>
              <c:f>NFLD!$E$272:$E$274</c:f>
              <c:numCache>
                <c:formatCode>0.0%</c:formatCode>
                <c:ptCount val="3"/>
                <c:pt idx="0">
                  <c:v>4.0091944141176276E-2</c:v>
                </c:pt>
                <c:pt idx="1">
                  <c:v>0.12576014094819221</c:v>
                </c:pt>
                <c:pt idx="2">
                  <c:v>0.13999235309731187</c:v>
                </c:pt>
              </c:numCache>
            </c:numRef>
          </c:val>
        </c:ser>
        <c:dLbls/>
        <c:gapWidth val="50"/>
        <c:axId val="149691776"/>
        <c:axId val="149701760"/>
      </c:barChart>
      <c:catAx>
        <c:axId val="149691776"/>
        <c:scaling>
          <c:orientation val="minMax"/>
        </c:scaling>
        <c:delete val="1"/>
        <c:axPos val="b"/>
        <c:majorTickMark val="none"/>
        <c:tickLblPos val="none"/>
        <c:crossAx val="149701760"/>
        <c:crosses val="autoZero"/>
        <c:auto val="1"/>
        <c:lblAlgn val="ctr"/>
        <c:lblOffset val="100"/>
      </c:catAx>
      <c:valAx>
        <c:axId val="149701760"/>
        <c:scaling>
          <c:orientation val="minMax"/>
        </c:scaling>
        <c:axPos val="l"/>
        <c:majorGridlines/>
        <c:numFmt formatCode="0%" sourceLinked="0"/>
        <c:majorTickMark val="none"/>
        <c:tickLblPos val="nextTo"/>
        <c:txPr>
          <a:bodyPr/>
          <a:lstStyle/>
          <a:p>
            <a:pPr>
              <a:defRPr lang="en-US"/>
            </a:pPr>
            <a:endParaRPr lang="en-US"/>
          </a:p>
        </c:txPr>
        <c:crossAx val="149691776"/>
        <c:crosses val="autoZero"/>
        <c:crossBetween val="between"/>
      </c:valAx>
    </c:plotArea>
    <c:plotVisOnly val="1"/>
    <c:dispBlanksAs val="gap"/>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Estimated Expenditures from 2005-06 to 2010-11 </a:t>
            </a:r>
          </a:p>
          <a:p>
            <a:pPr>
              <a:defRPr lang="en-US"/>
            </a:pPr>
            <a:r>
              <a:rPr lang="en-US" sz="1800" b="1" i="0" baseline="0"/>
              <a:t>CANADA</a:t>
            </a:r>
          </a:p>
        </c:rich>
      </c:tx>
      <c:layout/>
    </c:title>
    <c:plotArea>
      <c:layout/>
      <c:barChart>
        <c:barDir val="col"/>
        <c:grouping val="clustered"/>
        <c:ser>
          <c:idx val="5"/>
          <c:order val="0"/>
          <c:spPr>
            <a:solidFill>
              <a:schemeClr val="accent3"/>
            </a:solidFill>
          </c:spPr>
          <c:dLbls>
            <c:dLbl>
              <c:idx val="2"/>
              <c:layout>
                <c:manualLayout>
                  <c:x val="0"/>
                  <c:y val="-1.2094312784323366E-2"/>
                </c:manualLayout>
              </c:layout>
              <c:showVal val="1"/>
            </c:dLbl>
            <c:txPr>
              <a:bodyPr/>
              <a:lstStyle/>
              <a:p>
                <a:pPr>
                  <a:defRPr lang="en-US" sz="1200" b="1" i="0" baseline="0"/>
                </a:pPr>
                <a:endParaRPr lang="en-US"/>
              </a:p>
            </c:txPr>
            <c:showVal val="1"/>
          </c:dLbls>
          <c:cat>
            <c:strRef>
              <c:f>'CAN &amp; ON input to 2013-14'!$A$43:$A$49</c:f>
              <c:strCache>
                <c:ptCount val="7"/>
                <c:pt idx="0">
                  <c:v>Disability Tax Measures</c:v>
                </c:pt>
                <c:pt idx="1">
                  <c:v>CPP-D &amp; QPP-D</c:v>
                </c:pt>
                <c:pt idx="2">
                  <c:v>EI Sickness</c:v>
                </c:pt>
                <c:pt idx="3">
                  <c:v>Veterans' Disability Pensions &amp; Awards</c:v>
                </c:pt>
                <c:pt idx="4">
                  <c:v>Social Assistance - Disabled component </c:v>
                </c:pt>
                <c:pt idx="5">
                  <c:v>Workers' Compensation </c:v>
                </c:pt>
                <c:pt idx="6">
                  <c:v>Private Disability Insurance</c:v>
                </c:pt>
              </c:strCache>
            </c:strRef>
          </c:cat>
          <c:val>
            <c:numRef>
              <c:f>'CAN &amp; ON input to 2013-14'!$G$43:$G$49</c:f>
              <c:numCache>
                <c:formatCode>0.0%</c:formatCode>
                <c:ptCount val="7"/>
                <c:pt idx="0">
                  <c:v>0.28093567251461993</c:v>
                </c:pt>
                <c:pt idx="1">
                  <c:v>0.17334250489443881</c:v>
                </c:pt>
                <c:pt idx="2">
                  <c:v>0.24068901303538168</c:v>
                </c:pt>
                <c:pt idx="3">
                  <c:v>0.27886473429951675</c:v>
                </c:pt>
                <c:pt idx="4">
                  <c:v>0.30212127664755428</c:v>
                </c:pt>
                <c:pt idx="5">
                  <c:v>0.11600645054581529</c:v>
                </c:pt>
                <c:pt idx="6">
                  <c:v>0.27534277365700155</c:v>
                </c:pt>
              </c:numCache>
            </c:numRef>
          </c:val>
        </c:ser>
        <c:dLbls/>
        <c:gapWidth val="50"/>
        <c:axId val="47575424"/>
        <c:axId val="47576960"/>
      </c:barChart>
      <c:catAx>
        <c:axId val="47575424"/>
        <c:scaling>
          <c:orientation val="minMax"/>
        </c:scaling>
        <c:axPos val="b"/>
        <c:majorTickMark val="none"/>
        <c:tickLblPos val="nextTo"/>
        <c:txPr>
          <a:bodyPr/>
          <a:lstStyle/>
          <a:p>
            <a:pPr>
              <a:defRPr lang="en-US" sz="1200" b="1" i="0" baseline="0"/>
            </a:pPr>
            <a:endParaRPr lang="en-US"/>
          </a:p>
        </c:txPr>
        <c:crossAx val="47576960"/>
        <c:crosses val="autoZero"/>
        <c:auto val="1"/>
        <c:lblAlgn val="ctr"/>
        <c:lblOffset val="100"/>
      </c:catAx>
      <c:valAx>
        <c:axId val="47576960"/>
        <c:scaling>
          <c:orientation val="minMax"/>
        </c:scaling>
        <c:axPos val="l"/>
        <c:majorGridlines/>
        <c:numFmt formatCode="0%" sourceLinked="0"/>
        <c:majorTickMark val="none"/>
        <c:tickLblPos val="nextTo"/>
        <c:txPr>
          <a:bodyPr/>
          <a:lstStyle/>
          <a:p>
            <a:pPr>
              <a:defRPr lang="en-US"/>
            </a:pPr>
            <a:endParaRPr lang="en-US"/>
          </a:p>
        </c:txPr>
        <c:crossAx val="47575424"/>
        <c:crosses val="autoZero"/>
        <c:crossBetween val="between"/>
      </c:valAx>
    </c:plotArea>
    <c:plotVisOnly val="1"/>
    <c:dispBlanksAs val="gap"/>
  </c:chart>
</c:chartSpace>
</file>

<file path=xl/charts/chart90.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sz="1800" b="1" i="0" baseline="0"/>
          </a:p>
          <a:p>
            <a:pPr>
              <a:defRPr/>
            </a:pPr>
            <a:r>
              <a:rPr lang="en-US" sz="1800" b="1" i="0" baseline="0"/>
              <a:t>PRINCE EDWARD ISLAND 2013</a:t>
            </a:r>
            <a:endParaRPr lang="en-CA" sz="1800" b="1" i="0" baseline="0"/>
          </a:p>
          <a:p>
            <a:pPr>
              <a:defRPr/>
            </a:pPr>
            <a:r>
              <a:rPr lang="en-US" sz="1800" b="1" i="0" baseline="0"/>
              <a:t>$141 M</a:t>
            </a:r>
            <a:endParaRPr lang="en-CA"/>
          </a:p>
        </c:rich>
      </c:tx>
    </c:title>
    <c:plotArea>
      <c:layout/>
      <c:pieChart>
        <c:varyColors val="1"/>
        <c:ser>
          <c:idx val="10"/>
          <c:order val="0"/>
          <c:dLbls>
            <c:dLbl>
              <c:idx val="0"/>
              <c:layout>
                <c:manualLayout>
                  <c:x val="0.12976057516028702"/>
                  <c:y val="2.7403280017844589E-2"/>
                </c:manualLayout>
              </c:layout>
              <c:tx>
                <c:rich>
                  <a:bodyPr/>
                  <a:lstStyle/>
                  <a:p>
                    <a:r>
                      <a:rPr lang="en-US"/>
                      <a:t>Disability Tax Measures</a:t>
                    </a:r>
                  </a:p>
                  <a:p>
                    <a:r>
                      <a:rPr lang="en-US"/>
                      <a:t>$10</a:t>
                    </a:r>
                    <a:r>
                      <a:rPr lang="en-US" baseline="0"/>
                      <a:t> M</a:t>
                    </a:r>
                    <a:endParaRPr lang="en-US"/>
                  </a:p>
                </c:rich>
              </c:tx>
              <c:showVal val="1"/>
              <c:showCatName val="1"/>
            </c:dLbl>
            <c:dLbl>
              <c:idx val="1"/>
              <c:layout>
                <c:manualLayout>
                  <c:x val="-0.13953458868815138"/>
                  <c:y val="6.4335573011758504E-2"/>
                </c:manualLayout>
              </c:layout>
              <c:tx>
                <c:rich>
                  <a:bodyPr/>
                  <a:lstStyle/>
                  <a:p>
                    <a:r>
                      <a:rPr lang="en-US"/>
                      <a:t>CPP-D</a:t>
                    </a:r>
                  </a:p>
                  <a:p>
                    <a:r>
                      <a:rPr lang="en-US"/>
                      <a:t>$33 M</a:t>
                    </a:r>
                  </a:p>
                </c:rich>
              </c:tx>
              <c:showVal val="1"/>
              <c:showCatName val="1"/>
            </c:dLbl>
            <c:dLbl>
              <c:idx val="2"/>
              <c:layout>
                <c:manualLayout>
                  <c:x val="-0.11721734910323232"/>
                  <c:y val="-0.11653725972919232"/>
                </c:manualLayout>
              </c:layout>
              <c:tx>
                <c:rich>
                  <a:bodyPr/>
                  <a:lstStyle/>
                  <a:p>
                    <a:r>
                      <a:rPr lang="en-US"/>
                      <a:t>EI Sickness</a:t>
                    </a:r>
                  </a:p>
                  <a:p>
                    <a:r>
                      <a:rPr lang="en-US"/>
                      <a:t>$16</a:t>
                    </a:r>
                    <a:r>
                      <a:rPr lang="en-US" baseline="0"/>
                      <a:t> M</a:t>
                    </a:r>
                    <a:endParaRPr lang="en-US"/>
                  </a:p>
                </c:rich>
              </c:tx>
              <c:showVal val="1"/>
              <c:showCatName val="1"/>
            </c:dLbl>
            <c:dLbl>
              <c:idx val="3"/>
              <c:tx>
                <c:rich>
                  <a:bodyPr/>
                  <a:lstStyle/>
                  <a:p>
                    <a:r>
                      <a:rPr lang="en-US"/>
                      <a:t>Veterans' Disability Pensions &amp; Awards,</a:t>
                    </a:r>
                  </a:p>
                  <a:p>
                    <a:r>
                      <a:rPr lang="en-US"/>
                      <a:t>$20 M</a:t>
                    </a:r>
                  </a:p>
                </c:rich>
              </c:tx>
              <c:showVal val="1"/>
              <c:showCatName val="1"/>
            </c:dLbl>
            <c:dLbl>
              <c:idx val="4"/>
              <c:layout>
                <c:manualLayout>
                  <c:x val="0.16152348092932794"/>
                  <c:y val="-0.13333087610551417"/>
                </c:manualLayout>
              </c:layout>
              <c:tx>
                <c:rich>
                  <a:bodyPr/>
                  <a:lstStyle/>
                  <a:p>
                    <a:r>
                      <a:rPr lang="en-US"/>
                      <a:t>Income Asst. for the Disabled</a:t>
                    </a:r>
                  </a:p>
                  <a:p>
                    <a:r>
                      <a:rPr lang="en-US"/>
                      <a:t>$20 M</a:t>
                    </a:r>
                  </a:p>
                </c:rich>
              </c:tx>
              <c:showVal val="1"/>
              <c:showCatName val="1"/>
            </c:dLbl>
            <c:dLbl>
              <c:idx val="5"/>
              <c:layout>
                <c:manualLayout>
                  <c:x val="-3.7044661697284736E-2"/>
                  <c:y val="2.0618948149739236E-2"/>
                </c:manualLayout>
              </c:layout>
              <c:tx>
                <c:rich>
                  <a:bodyPr/>
                  <a:lstStyle/>
                  <a:p>
                    <a:r>
                      <a:rPr lang="en-US"/>
                      <a:t>First Nations SA for Disabled - $0.6</a:t>
                    </a:r>
                    <a:r>
                      <a:rPr lang="en-US" baseline="0"/>
                      <a:t> M</a:t>
                    </a:r>
                    <a:endParaRPr lang="en-US"/>
                  </a:p>
                </c:rich>
              </c:tx>
              <c:showVal val="1"/>
              <c:showCatName val="1"/>
            </c:dLbl>
            <c:dLbl>
              <c:idx val="6"/>
              <c:layout>
                <c:manualLayout>
                  <c:x val="0.17961551183434418"/>
                  <c:y val="7.1778590216377974E-3"/>
                </c:manualLayout>
              </c:layout>
              <c:tx>
                <c:rich>
                  <a:bodyPr/>
                  <a:lstStyle/>
                  <a:p>
                    <a:r>
                      <a:rPr lang="en-US"/>
                      <a:t>Workers' Compensation</a:t>
                    </a:r>
                  </a:p>
                  <a:p>
                    <a:r>
                      <a:rPr lang="en-US"/>
                      <a:t>$16 M</a:t>
                    </a:r>
                  </a:p>
                </c:rich>
              </c:tx>
              <c:showVal val="1"/>
              <c:showCatName val="1"/>
            </c:dLbl>
            <c:dLbl>
              <c:idx val="7"/>
              <c:layout>
                <c:manualLayout>
                  <c:x val="0.1338660702670236"/>
                  <c:y val="0.1950736501081286"/>
                </c:manualLayout>
              </c:layout>
              <c:tx>
                <c:rich>
                  <a:bodyPr/>
                  <a:lstStyle/>
                  <a:p>
                    <a:r>
                      <a:rPr lang="en-US"/>
                      <a:t>Private Disability Insurance</a:t>
                    </a:r>
                  </a:p>
                  <a:p>
                    <a:r>
                      <a:rPr lang="en-US"/>
                      <a:t>$26 M</a:t>
                    </a:r>
                  </a:p>
                </c:rich>
              </c:tx>
              <c:showVal val="1"/>
              <c:showCatName val="1"/>
            </c:dLbl>
            <c:txPr>
              <a:bodyPr/>
              <a:lstStyle/>
              <a:p>
                <a:pPr>
                  <a:defRPr sz="1400" b="1"/>
                </a:pPr>
                <a:endParaRPr lang="en-US"/>
              </a:p>
            </c:txPr>
            <c:showVal val="1"/>
            <c:showCatName val="1"/>
            <c:showLeaderLines val="1"/>
          </c:dLbls>
          <c:cat>
            <c:strRef>
              <c:f>(PEI!$A$259:$A$264,PEI!$A$266:$A$267)</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(PEI!$L$259:$L$264,PEI!$L$266:$L$267)</c:f>
              <c:numCache>
                <c:formatCode>#,##0.0</c:formatCode>
                <c:ptCount val="8"/>
                <c:pt idx="0">
                  <c:v>9.6179200000000016</c:v>
                </c:pt>
                <c:pt idx="1">
                  <c:v>33</c:v>
                </c:pt>
                <c:pt idx="2">
                  <c:v>15.7</c:v>
                </c:pt>
                <c:pt idx="3">
                  <c:v>20.5</c:v>
                </c:pt>
                <c:pt idx="4">
                  <c:v>19.47</c:v>
                </c:pt>
                <c:pt idx="5">
                  <c:v>0.57448299999999997</c:v>
                </c:pt>
                <c:pt idx="6">
                  <c:v>15.7</c:v>
                </c:pt>
                <c:pt idx="7">
                  <c:v>26</c:v>
                </c:pt>
              </c:numCache>
            </c:numRef>
          </c:val>
        </c:ser>
        <c:dLbls>
          <c:showCatName val="1"/>
          <c:showPercent val="1"/>
        </c:dLbls>
        <c:firstSliceAng val="0"/>
      </c:pieChart>
    </c:plotArea>
    <c:plotVisOnly val="1"/>
    <c:dispBlanksAs val="zero"/>
  </c:chart>
</c:chartSpace>
</file>

<file path=xl/charts/chart91.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BENEFIT EXPENDITURES FOR PERSONS WITH DISABILITIES</a:t>
            </a:r>
            <a:endParaRPr lang="en-CA"/>
          </a:p>
          <a:p>
            <a:pPr>
              <a:defRPr/>
            </a:pPr>
            <a:r>
              <a:rPr lang="en-US" sz="1800" b="1" i="0" baseline="0"/>
              <a:t>PRINCE EDWARD ISLAND 2005</a:t>
            </a:r>
            <a:endParaRPr lang="en-CA"/>
          </a:p>
          <a:p>
            <a:pPr>
              <a:defRPr/>
            </a:pPr>
            <a:r>
              <a:rPr lang="en-US" sz="1800" b="1" i="0" baseline="0"/>
              <a:t>$97 M</a:t>
            </a:r>
            <a:endParaRPr lang="en-CA"/>
          </a:p>
        </c:rich>
      </c:tx>
      <c:layout>
        <c:manualLayout>
          <c:xMode val="edge"/>
          <c:yMode val="edge"/>
          <c:x val="0.12032678806868567"/>
          <c:y val="1.815912541330679E-2"/>
        </c:manualLayout>
      </c:layout>
    </c:title>
    <c:plotArea>
      <c:layout/>
      <c:pieChart>
        <c:varyColors val="1"/>
        <c:ser>
          <c:idx val="0"/>
          <c:order val="0"/>
          <c:dLbls>
            <c:dLbl>
              <c:idx val="0"/>
              <c:layout>
                <c:manualLayout>
                  <c:x val="0.13853299665909174"/>
                  <c:y val="4.9270330435710982E-2"/>
                </c:manualLayout>
              </c:layout>
              <c:tx>
                <c:rich>
                  <a:bodyPr/>
                  <a:lstStyle/>
                  <a:p>
                    <a:r>
                      <a:rPr lang="en-US"/>
                      <a:t>Disability Tax Measures</a:t>
                    </a:r>
                  </a:p>
                  <a:p>
                    <a:r>
                      <a:rPr lang="en-US"/>
                      <a:t>$7</a:t>
                    </a:r>
                    <a:r>
                      <a:rPr lang="en-US" baseline="0"/>
                      <a:t> M</a:t>
                    </a:r>
                    <a:endParaRPr lang="en-US"/>
                  </a:p>
                </c:rich>
              </c:tx>
              <c:showVal val="1"/>
              <c:showCatName val="1"/>
            </c:dLbl>
            <c:dLbl>
              <c:idx val="1"/>
              <c:layout>
                <c:manualLayout>
                  <c:x val="-0.13835336863384437"/>
                  <c:y val="6.2241792488381652E-2"/>
                </c:manualLayout>
              </c:layout>
              <c:tx>
                <c:rich>
                  <a:bodyPr/>
                  <a:lstStyle/>
                  <a:p>
                    <a:r>
                      <a:rPr lang="en-US"/>
                      <a:t>CPP-D</a:t>
                    </a:r>
                  </a:p>
                  <a:p>
                    <a:r>
                      <a:rPr lang="en-US"/>
                      <a:t>$26 M</a:t>
                    </a:r>
                  </a:p>
                </c:rich>
              </c:tx>
              <c:showVal val="1"/>
              <c:showCatName val="1"/>
            </c:dLbl>
            <c:dLbl>
              <c:idx val="2"/>
              <c:layout>
                <c:manualLayout>
                  <c:x val="-9.6679897438452539E-2"/>
                  <c:y val="-0.10276794004025201"/>
                </c:manualLayout>
              </c:layout>
              <c:tx>
                <c:rich>
                  <a:bodyPr/>
                  <a:lstStyle/>
                  <a:p>
                    <a:r>
                      <a:rPr lang="en-US"/>
                      <a:t>EI Sickness</a:t>
                    </a:r>
                  </a:p>
                  <a:p>
                    <a:r>
                      <a:rPr lang="en-US"/>
                      <a:t>$8 M</a:t>
                    </a:r>
                  </a:p>
                </c:rich>
              </c:tx>
              <c:showVal val="1"/>
              <c:showCatName val="1"/>
            </c:dLbl>
            <c:dLbl>
              <c:idx val="3"/>
              <c:layout>
                <c:manualLayout>
                  <c:x val="2.9397409389050198E-2"/>
                  <c:y val="-0.12529510564702737"/>
                </c:manualLayout>
              </c:layout>
              <c:tx>
                <c:rich>
                  <a:bodyPr/>
                  <a:lstStyle/>
                  <a:p>
                    <a:r>
                      <a:rPr lang="en-US"/>
                      <a:t>Veterans' Disability Pensions &amp; Awards</a:t>
                    </a:r>
                  </a:p>
                  <a:p>
                    <a:r>
                      <a:rPr lang="en-US"/>
                      <a:t>$18 M</a:t>
                    </a:r>
                  </a:p>
                </c:rich>
              </c:tx>
              <c:showVal val="1"/>
              <c:showCatName val="1"/>
            </c:dLbl>
            <c:dLbl>
              <c:idx val="4"/>
              <c:layout>
                <c:manualLayout>
                  <c:x val="0.19814424355322818"/>
                  <c:y val="-8.1019090753684728E-2"/>
                </c:manualLayout>
              </c:layout>
              <c:tx>
                <c:rich>
                  <a:bodyPr/>
                  <a:lstStyle/>
                  <a:p>
                    <a:r>
                      <a:rPr lang="en-US"/>
                      <a:t>Income Asst. for the Disabled</a:t>
                    </a:r>
                  </a:p>
                  <a:p>
                    <a:r>
                      <a:rPr lang="en-US"/>
                      <a:t>$15</a:t>
                    </a:r>
                    <a:r>
                      <a:rPr lang="en-US" baseline="0"/>
                      <a:t> M</a:t>
                    </a:r>
                    <a:endParaRPr lang="en-US"/>
                  </a:p>
                </c:rich>
              </c:tx>
              <c:showVal val="1"/>
              <c:showCatName val="1"/>
            </c:dLbl>
            <c:dLbl>
              <c:idx val="5"/>
              <c:layout>
                <c:manualLayout>
                  <c:x val="-4.3369759474902563E-2"/>
                  <c:y val="1.4242600831602158E-2"/>
                </c:manualLayout>
              </c:layout>
              <c:tx>
                <c:rich>
                  <a:bodyPr/>
                  <a:lstStyle/>
                  <a:p>
                    <a:r>
                      <a:rPr lang="en-US"/>
                      <a:t>First Nations SA for Disabled - $-.5 M</a:t>
                    </a:r>
                  </a:p>
                </c:rich>
              </c:tx>
              <c:showVal val="1"/>
              <c:showCatName val="1"/>
            </c:dLbl>
            <c:dLbl>
              <c:idx val="6"/>
              <c:layout>
                <c:manualLayout>
                  <c:x val="0.16005733565102509"/>
                  <c:y val="9.9640217362983605E-2"/>
                </c:manualLayout>
              </c:layout>
              <c:tx>
                <c:rich>
                  <a:bodyPr/>
                  <a:lstStyle/>
                  <a:p>
                    <a:r>
                      <a:rPr lang="en-US"/>
                      <a:t>Workers' Compensation </a:t>
                    </a:r>
                  </a:p>
                  <a:p>
                    <a:r>
                      <a:rPr lang="en-US"/>
                      <a:t>$11</a:t>
                    </a:r>
                    <a:r>
                      <a:rPr lang="en-US" baseline="0"/>
                      <a:t> M</a:t>
                    </a:r>
                    <a:endParaRPr lang="en-US"/>
                  </a:p>
                </c:rich>
              </c:tx>
              <c:showVal val="1"/>
              <c:showCatName val="1"/>
            </c:dLbl>
            <c:dLbl>
              <c:idx val="7"/>
              <c:tx>
                <c:rich>
                  <a:bodyPr/>
                  <a:lstStyle/>
                  <a:p>
                    <a:r>
                      <a:rPr lang="en-US"/>
                      <a:t>Private Disability Insurance</a:t>
                    </a:r>
                  </a:p>
                  <a:p>
                    <a:r>
                      <a:rPr lang="en-US"/>
                      <a:t>$12 M</a:t>
                    </a:r>
                  </a:p>
                </c:rich>
              </c:tx>
              <c:showVal val="1"/>
              <c:showCatName val="1"/>
            </c:dLbl>
            <c:txPr>
              <a:bodyPr/>
              <a:lstStyle/>
              <a:p>
                <a:pPr>
                  <a:defRPr sz="1400" b="1"/>
                </a:pPr>
                <a:endParaRPr lang="en-US"/>
              </a:p>
            </c:txPr>
            <c:showVal val="1"/>
            <c:showCatName val="1"/>
            <c:showLeaderLines val="1"/>
          </c:dLbls>
          <c:cat>
            <c:strRef>
              <c:f>(PEI!$A$259:$A$264,PEI!$A$266:$A$267)</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(PEI!$B$259:$B$264,PEI!$B$266:$B$267)</c:f>
              <c:numCache>
                <c:formatCode>#,##0.0</c:formatCode>
                <c:ptCount val="8"/>
                <c:pt idx="0">
                  <c:v>6.84</c:v>
                </c:pt>
                <c:pt idx="1">
                  <c:v>26</c:v>
                </c:pt>
                <c:pt idx="2">
                  <c:v>8</c:v>
                </c:pt>
                <c:pt idx="3">
                  <c:v>18.215999999999998</c:v>
                </c:pt>
                <c:pt idx="4">
                  <c:v>14.905000000000001</c:v>
                </c:pt>
                <c:pt idx="5">
                  <c:v>0.48015000000000002</c:v>
                </c:pt>
                <c:pt idx="6">
                  <c:v>10.6</c:v>
                </c:pt>
                <c:pt idx="7">
                  <c:v>12</c:v>
                </c:pt>
              </c:numCache>
            </c:numRef>
          </c:val>
        </c:ser>
        <c:dLbls>
          <c:showCatName val="1"/>
          <c:showPercent val="1"/>
        </c:dLbls>
        <c:firstSliceAng val="0"/>
      </c:pieChart>
    </c:plotArea>
    <c:plotVisOnly val="1"/>
    <c:dispBlanksAs val="zero"/>
  </c:chart>
</c:chartSpace>
</file>

<file path=xl/charts/chart92.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ESTIMATED DISABILITY BENEFIT EXPENDITURES</a:t>
            </a:r>
          </a:p>
          <a:p>
            <a:pPr>
              <a:defRPr/>
            </a:pPr>
            <a:r>
              <a:rPr lang="en-US" sz="1800" b="1" i="0" baseline="0"/>
              <a:t>PRINCE EDWARD ISLAND 2011-12</a:t>
            </a:r>
          </a:p>
          <a:p>
            <a:pPr>
              <a:defRPr/>
            </a:pPr>
            <a:r>
              <a:rPr lang="en-US" sz="1800" b="1" i="0" baseline="0"/>
              <a:t>$128 M</a:t>
            </a:r>
            <a:endParaRPr lang="en-CA"/>
          </a:p>
        </c:rich>
      </c:tx>
    </c:title>
    <c:plotArea>
      <c:layout/>
      <c:pieChart>
        <c:varyColors val="1"/>
        <c:ser>
          <c:idx val="6"/>
          <c:order val="0"/>
          <c:dLbls>
            <c:dLbl>
              <c:idx val="0"/>
              <c:tx>
                <c:rich>
                  <a:bodyPr/>
                  <a:lstStyle/>
                  <a:p>
                    <a:r>
                      <a:rPr lang="en-US"/>
                      <a:t>Disability Tax Measures</a:t>
                    </a:r>
                  </a:p>
                  <a:p>
                    <a:r>
                      <a:rPr lang="en-US"/>
                      <a:t>$9</a:t>
                    </a:r>
                    <a:r>
                      <a:rPr lang="en-US" baseline="0"/>
                      <a:t> M</a:t>
                    </a:r>
                    <a:endParaRPr lang="en-US"/>
                  </a:p>
                </c:rich>
              </c:tx>
              <c:showVal val="1"/>
              <c:showCatName val="1"/>
            </c:dLbl>
            <c:dLbl>
              <c:idx val="1"/>
              <c:layout>
                <c:manualLayout>
                  <c:x val="-0.11925259517805721"/>
                  <c:y val="5.0303795972137924E-2"/>
                </c:manualLayout>
              </c:layout>
              <c:tx>
                <c:rich>
                  <a:bodyPr/>
                  <a:lstStyle/>
                  <a:p>
                    <a:r>
                      <a:rPr lang="en-US"/>
                      <a:t>CPP-D</a:t>
                    </a:r>
                  </a:p>
                  <a:p>
                    <a:r>
                      <a:rPr lang="en-US"/>
                      <a:t>$33</a:t>
                    </a:r>
                    <a:r>
                      <a:rPr lang="en-US" baseline="0"/>
                      <a:t> M</a:t>
                    </a:r>
                    <a:endParaRPr lang="en-US"/>
                  </a:p>
                </c:rich>
              </c:tx>
              <c:showVal val="1"/>
              <c:showCatName val="1"/>
            </c:dLbl>
            <c:dLbl>
              <c:idx val="2"/>
              <c:layout>
                <c:manualLayout>
                  <c:x val="-8.7191270458565187E-2"/>
                  <c:y val="-0.10719412756444083"/>
                </c:manualLayout>
              </c:layout>
              <c:tx>
                <c:rich>
                  <a:bodyPr/>
                  <a:lstStyle/>
                  <a:p>
                    <a:r>
                      <a:rPr lang="en-US"/>
                      <a:t>EI Sickness</a:t>
                    </a:r>
                  </a:p>
                  <a:p>
                    <a:r>
                      <a:rPr lang="en-US"/>
                      <a:t>$14 M</a:t>
                    </a:r>
                  </a:p>
                </c:rich>
              </c:tx>
              <c:showVal val="1"/>
              <c:showCatName val="1"/>
            </c:dLbl>
            <c:dLbl>
              <c:idx val="3"/>
              <c:layout>
                <c:manualLayout>
                  <c:x val="3.560757982980841E-2"/>
                  <c:y val="-0.12846286419134936"/>
                </c:manualLayout>
              </c:layout>
              <c:tx>
                <c:rich>
                  <a:bodyPr/>
                  <a:lstStyle/>
                  <a:p>
                    <a:r>
                      <a:rPr lang="en-US"/>
                      <a:t>Veterans' Disability Pensions &amp; Awards</a:t>
                    </a:r>
                  </a:p>
                  <a:p>
                    <a:r>
                      <a:rPr lang="en-US"/>
                      <a:t>$21 M</a:t>
                    </a:r>
                  </a:p>
                </c:rich>
              </c:tx>
              <c:showVal val="1"/>
              <c:showCatName val="1"/>
            </c:dLbl>
            <c:dLbl>
              <c:idx val="4"/>
              <c:layout>
                <c:manualLayout>
                  <c:x val="0.18579333193090977"/>
                  <c:y val="-0.10669638005858044"/>
                </c:manualLayout>
              </c:layout>
              <c:tx>
                <c:rich>
                  <a:bodyPr/>
                  <a:lstStyle/>
                  <a:p>
                    <a:r>
                      <a:rPr lang="en-US"/>
                      <a:t>Income Asst. for</a:t>
                    </a:r>
                  </a:p>
                  <a:p>
                    <a:r>
                      <a:rPr lang="en-US"/>
                      <a:t> the Disabled</a:t>
                    </a:r>
                  </a:p>
                  <a:p>
                    <a:r>
                      <a:rPr lang="en-US"/>
                      <a:t>$19</a:t>
                    </a:r>
                    <a:r>
                      <a:rPr lang="en-US" baseline="0"/>
                      <a:t> M</a:t>
                    </a:r>
                    <a:endParaRPr lang="en-US"/>
                  </a:p>
                </c:rich>
              </c:tx>
              <c:showVal val="1"/>
              <c:showCatName val="1"/>
            </c:dLbl>
            <c:dLbl>
              <c:idx val="5"/>
              <c:layout>
                <c:manualLayout>
                  <c:x val="-3.4877822956773309E-2"/>
                  <c:y val="6.6366281157278731E-2"/>
                </c:manualLayout>
              </c:layout>
              <c:tx>
                <c:rich>
                  <a:bodyPr/>
                  <a:lstStyle/>
                  <a:p>
                    <a:r>
                      <a:rPr lang="en-US"/>
                      <a:t>First Nations SA for Disabled</a:t>
                    </a:r>
                  </a:p>
                  <a:p>
                    <a:r>
                      <a:rPr lang="en-US"/>
                      <a:t>$0.5 M</a:t>
                    </a:r>
                  </a:p>
                </c:rich>
              </c:tx>
              <c:showVal val="1"/>
              <c:showCatName val="1"/>
            </c:dLbl>
            <c:dLbl>
              <c:idx val="6"/>
              <c:layout>
                <c:manualLayout>
                  <c:x val="0.18746430505694286"/>
                  <c:y val="8.6013088551076547E-2"/>
                </c:manualLayout>
              </c:layout>
              <c:tx>
                <c:rich>
                  <a:bodyPr/>
                  <a:lstStyle/>
                  <a:p>
                    <a:r>
                      <a:rPr lang="en-US"/>
                      <a:t>Workers' Compensation  $14 M</a:t>
                    </a:r>
                  </a:p>
                </c:rich>
              </c:tx>
              <c:showVal val="1"/>
              <c:showCatName val="1"/>
            </c:dLbl>
            <c:dLbl>
              <c:idx val="7"/>
              <c:layout>
                <c:manualLayout>
                  <c:x val="0.10068274795933382"/>
                  <c:y val="0.17355468931213941"/>
                </c:manualLayout>
              </c:layout>
              <c:tx>
                <c:rich>
                  <a:bodyPr/>
                  <a:lstStyle/>
                  <a:p>
                    <a:r>
                      <a:rPr lang="en-US"/>
                      <a:t>Private Disability Insurance</a:t>
                    </a:r>
                  </a:p>
                  <a:p>
                    <a:r>
                      <a:rPr lang="en-US"/>
                      <a:t>$18</a:t>
                    </a:r>
                    <a:r>
                      <a:rPr lang="en-US" baseline="0"/>
                      <a:t> M</a:t>
                    </a:r>
                    <a:endParaRPr lang="en-US"/>
                  </a:p>
                </c:rich>
              </c:tx>
              <c:showVal val="1"/>
              <c:showCatName val="1"/>
            </c:dLbl>
            <c:txPr>
              <a:bodyPr/>
              <a:lstStyle/>
              <a:p>
                <a:pPr>
                  <a:defRPr sz="1200" b="1"/>
                </a:pPr>
                <a:endParaRPr lang="en-US"/>
              </a:p>
            </c:txPr>
            <c:showVal val="1"/>
            <c:showCatName val="1"/>
            <c:showLeaderLines val="1"/>
          </c:dLbls>
          <c:cat>
            <c:strRef>
              <c:f>(PEI!$A$259:$A$264,PEI!$A$266:$A$267)</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(PEI!$H$259:$H$264,PEI!$H$266:$H$267)</c:f>
              <c:numCache>
                <c:formatCode>#,##0.0</c:formatCode>
                <c:ptCount val="8"/>
                <c:pt idx="0">
                  <c:v>9.2338399999999989</c:v>
                </c:pt>
                <c:pt idx="1">
                  <c:v>32.799999999999997</c:v>
                </c:pt>
                <c:pt idx="2">
                  <c:v>14</c:v>
                </c:pt>
                <c:pt idx="3">
                  <c:v>21.2</c:v>
                </c:pt>
                <c:pt idx="4">
                  <c:v>18.810000000000002</c:v>
                </c:pt>
                <c:pt idx="5">
                  <c:v>0.51480000000000004</c:v>
                </c:pt>
                <c:pt idx="6">
                  <c:v>13.7</c:v>
                </c:pt>
                <c:pt idx="7">
                  <c:v>18</c:v>
                </c:pt>
              </c:numCache>
            </c:numRef>
          </c:val>
        </c:ser>
        <c:dLbls>
          <c:showCatName val="1"/>
          <c:showPercent val="1"/>
        </c:dLbls>
        <c:firstSliceAng val="0"/>
      </c:pieChart>
    </c:plotArea>
    <c:plotVisOnly val="1"/>
    <c:dispBlanksAs val="zero"/>
  </c:chart>
</c:chartSpace>
</file>

<file path=xl/charts/chart93.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endParaRPr lang="en-US"/>
          </a:p>
          <a:p>
            <a:pPr>
              <a:defRPr lang="en-US"/>
            </a:pPr>
            <a:r>
              <a:rPr lang="en-US" sz="1800" b="1" i="0" baseline="0"/>
              <a:t>PRINCE EDWARD ISLAND 2010-11</a:t>
            </a:r>
            <a:endParaRPr lang="en-US"/>
          </a:p>
          <a:p>
            <a:pPr>
              <a:defRPr lang="en-US"/>
            </a:pPr>
            <a:r>
              <a:rPr lang="en-US" sz="1800" b="1" i="0" baseline="0"/>
              <a:t>$123 M</a:t>
            </a:r>
            <a:endParaRPr lang="en-US"/>
          </a:p>
        </c:rich>
      </c:tx>
    </c:title>
    <c:plotArea>
      <c:layout/>
      <c:pieChart>
        <c:varyColors val="1"/>
        <c:ser>
          <c:idx val="4"/>
          <c:order val="0"/>
          <c:dLbls>
            <c:dLbl>
              <c:idx val="0"/>
              <c:tx>
                <c:rich>
                  <a:bodyPr/>
                  <a:lstStyle/>
                  <a:p>
                    <a:r>
                      <a:rPr lang="en-US"/>
                      <a:t>Disability Tax Measures $9 M</a:t>
                    </a:r>
                  </a:p>
                </c:rich>
              </c:tx>
              <c:showVal val="1"/>
              <c:showCatName val="1"/>
            </c:dLbl>
            <c:dLbl>
              <c:idx val="1"/>
              <c:layout>
                <c:manualLayout>
                  <c:x val="-0.13708250272375222"/>
                  <c:y val="4.9340986927667134E-2"/>
                </c:manualLayout>
              </c:layout>
              <c:tx>
                <c:rich>
                  <a:bodyPr/>
                  <a:lstStyle/>
                  <a:p>
                    <a:r>
                      <a:rPr lang="en-US"/>
                      <a:t>CPP-D</a:t>
                    </a:r>
                  </a:p>
                  <a:p>
                    <a:r>
                      <a:rPr lang="en-US"/>
                      <a:t>$31 M</a:t>
                    </a:r>
                  </a:p>
                </c:rich>
              </c:tx>
              <c:showVal val="1"/>
              <c:showCatName val="1"/>
            </c:dLbl>
            <c:dLbl>
              <c:idx val="2"/>
              <c:layout>
                <c:manualLayout>
                  <c:x val="-0.11552197545751962"/>
                  <c:y val="-0.11456313977248198"/>
                </c:manualLayout>
              </c:layout>
              <c:tx>
                <c:rich>
                  <a:bodyPr/>
                  <a:lstStyle/>
                  <a:p>
                    <a:r>
                      <a:rPr lang="en-US"/>
                      <a:t>EI Sickness</a:t>
                    </a:r>
                  </a:p>
                  <a:p>
                    <a:r>
                      <a:rPr lang="en-US"/>
                      <a:t>$12</a:t>
                    </a:r>
                    <a:r>
                      <a:rPr lang="en-US" baseline="0"/>
                      <a:t> M</a:t>
                    </a:r>
                    <a:endParaRPr lang="en-US"/>
                  </a:p>
                </c:rich>
              </c:tx>
              <c:showVal val="1"/>
              <c:showCatName val="1"/>
            </c:dLbl>
            <c:dLbl>
              <c:idx val="3"/>
              <c:layout>
                <c:manualLayout>
                  <c:x val="1.0942841845252337E-3"/>
                  <c:y val="-0.14543601584767876"/>
                </c:manualLayout>
              </c:layout>
              <c:tx>
                <c:rich>
                  <a:bodyPr/>
                  <a:lstStyle/>
                  <a:p>
                    <a:r>
                      <a:rPr lang="en-US"/>
                      <a:t>Veterans' Disability Pensions &amp; Awards</a:t>
                    </a:r>
                  </a:p>
                  <a:p>
                    <a:r>
                      <a:rPr lang="en-US"/>
                      <a:t>$23</a:t>
                    </a:r>
                    <a:r>
                      <a:rPr lang="en-US" baseline="0"/>
                      <a:t>  M</a:t>
                    </a:r>
                    <a:endParaRPr lang="en-US"/>
                  </a:p>
                </c:rich>
              </c:tx>
              <c:showVal val="1"/>
              <c:showCatName val="1"/>
            </c:dLbl>
            <c:dLbl>
              <c:idx val="4"/>
              <c:layout>
                <c:manualLayout>
                  <c:x val="0.18762891302679321"/>
                  <c:y val="-0.11056693757715692"/>
                </c:manualLayout>
              </c:layout>
              <c:tx>
                <c:rich>
                  <a:bodyPr/>
                  <a:lstStyle/>
                  <a:p>
                    <a:r>
                      <a:rPr lang="en-US"/>
                      <a:t>Income Asst. for the Disabled</a:t>
                    </a:r>
                  </a:p>
                  <a:p>
                    <a:r>
                      <a:rPr lang="en-US"/>
                      <a:t>$17</a:t>
                    </a:r>
                    <a:r>
                      <a:rPr lang="en-US" baseline="0"/>
                      <a:t> M</a:t>
                    </a:r>
                    <a:endParaRPr lang="en-US"/>
                  </a:p>
                </c:rich>
              </c:tx>
              <c:showVal val="1"/>
              <c:showCatName val="1"/>
            </c:dLbl>
            <c:dLbl>
              <c:idx val="5"/>
              <c:layout>
                <c:manualLayout>
                  <c:x val="-1.7413702459341898E-2"/>
                  <c:y val="2.9135072523023609E-2"/>
                </c:manualLayout>
              </c:layout>
              <c:tx>
                <c:rich>
                  <a:bodyPr/>
                  <a:lstStyle/>
                  <a:p>
                    <a:r>
                      <a:rPr lang="en-US"/>
                      <a:t>First Nations SA for Disabled</a:t>
                    </a:r>
                  </a:p>
                  <a:p>
                    <a:r>
                      <a:rPr lang="en-US"/>
                      <a:t>$0.5 M</a:t>
                    </a:r>
                  </a:p>
                </c:rich>
              </c:tx>
              <c:showVal val="1"/>
              <c:showCatName val="1"/>
            </c:dLbl>
            <c:dLbl>
              <c:idx val="6"/>
              <c:layout>
                <c:manualLayout>
                  <c:x val="0.19005580267366967"/>
                  <c:y val="8.1273940628669397E-2"/>
                </c:manualLayout>
              </c:layout>
              <c:tx>
                <c:rich>
                  <a:bodyPr/>
                  <a:lstStyle/>
                  <a:p>
                    <a:r>
                      <a:rPr lang="en-US"/>
                      <a:t>Workers' Compensation</a:t>
                    </a:r>
                  </a:p>
                  <a:p>
                    <a:r>
                      <a:rPr lang="en-US"/>
                      <a:t>$13</a:t>
                    </a:r>
                    <a:r>
                      <a:rPr lang="en-US" baseline="0"/>
                      <a:t> M</a:t>
                    </a:r>
                    <a:endParaRPr lang="en-US"/>
                  </a:p>
                </c:rich>
              </c:tx>
              <c:showVal val="1"/>
              <c:showCatName val="1"/>
            </c:dLbl>
            <c:dLbl>
              <c:idx val="7"/>
              <c:layout>
                <c:manualLayout>
                  <c:x val="0.10376546466541429"/>
                  <c:y val="0.17282931686813804"/>
                </c:manualLayout>
              </c:layout>
              <c:tx>
                <c:rich>
                  <a:bodyPr/>
                  <a:lstStyle/>
                  <a:p>
                    <a:r>
                      <a:rPr lang="en-US"/>
                      <a:t>Private Disability Insurance</a:t>
                    </a:r>
                  </a:p>
                  <a:p>
                    <a:r>
                      <a:rPr lang="en-US"/>
                      <a:t>$18</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(PEI!$A$259:$A$264,PEI!$A$266:$A$267)</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(PEI!$F$259:$F$264,PEI!$F$266:$F$267)</c:f>
              <c:numCache>
                <c:formatCode>#,##0.0</c:formatCode>
                <c:ptCount val="8"/>
                <c:pt idx="0">
                  <c:v>8.7615999999999996</c:v>
                </c:pt>
                <c:pt idx="1">
                  <c:v>30.6</c:v>
                </c:pt>
                <c:pt idx="2">
                  <c:v>12</c:v>
                </c:pt>
                <c:pt idx="3">
                  <c:v>22.6</c:v>
                </c:pt>
                <c:pt idx="4">
                  <c:v>16.940000000000001</c:v>
                </c:pt>
                <c:pt idx="5">
                  <c:v>0.51908999999999994</c:v>
                </c:pt>
                <c:pt idx="6">
                  <c:v>13.4</c:v>
                </c:pt>
                <c:pt idx="7">
                  <c:v>18</c:v>
                </c:pt>
              </c:numCache>
            </c:numRef>
          </c:val>
        </c:ser>
        <c:dLbls>
          <c:showCatName val="1"/>
          <c:showPercent val="1"/>
        </c:dLbls>
        <c:firstSliceAng val="0"/>
      </c:pieChart>
    </c:plotArea>
    <c:plotVisOnly val="1"/>
    <c:dispBlanksAs val="zero"/>
  </c:chart>
</c:chartSpace>
</file>

<file path=xl/charts/chart94.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ESTIMATED DISABILITY BENEFIT EXPENDITURES</a:t>
            </a:r>
          </a:p>
          <a:p>
            <a:pPr>
              <a:defRPr lang="en-US"/>
            </a:pPr>
            <a:r>
              <a:rPr lang="en-US" sz="1800" b="1" i="0" baseline="0"/>
              <a:t>PRINCE EDWARD ISLAND 2009-10</a:t>
            </a:r>
          </a:p>
          <a:p>
            <a:pPr>
              <a:defRPr lang="en-US"/>
            </a:pPr>
            <a:r>
              <a:rPr lang="en-US" sz="1800" b="1" i="0" baseline="0"/>
              <a:t>$117 M</a:t>
            </a:r>
          </a:p>
        </c:rich>
      </c:tx>
    </c:title>
    <c:plotArea>
      <c:layout/>
      <c:pieChart>
        <c:varyColors val="1"/>
        <c:ser>
          <c:idx val="2"/>
          <c:order val="0"/>
          <c:dLbls>
            <c:dLbl>
              <c:idx val="0"/>
              <c:tx>
                <c:rich>
                  <a:bodyPr/>
                  <a:lstStyle/>
                  <a:p>
                    <a:r>
                      <a:rPr lang="en-US" baseline="0"/>
                      <a:t>D</a:t>
                    </a:r>
                    <a:r>
                      <a:rPr lang="en-US"/>
                      <a:t>isability Tax Measures $8</a:t>
                    </a:r>
                    <a:r>
                      <a:rPr lang="en-US" baseline="0"/>
                      <a:t> M</a:t>
                    </a:r>
                    <a:endParaRPr lang="en-US"/>
                  </a:p>
                </c:rich>
              </c:tx>
              <c:showVal val="1"/>
              <c:showCatName val="1"/>
            </c:dLbl>
            <c:dLbl>
              <c:idx val="1"/>
              <c:layout>
                <c:manualLayout>
                  <c:x val="-0.13216021182474583"/>
                  <c:y val="6.1784796782214442E-2"/>
                </c:manualLayout>
              </c:layout>
              <c:tx>
                <c:rich>
                  <a:bodyPr/>
                  <a:lstStyle/>
                  <a:p>
                    <a:r>
                      <a:rPr lang="en-US" baseline="0"/>
                      <a:t>C</a:t>
                    </a:r>
                    <a:r>
                      <a:rPr lang="en-US"/>
                      <a:t>PP-D</a:t>
                    </a:r>
                  </a:p>
                  <a:p>
                    <a:r>
                      <a:rPr lang="en-US"/>
                      <a:t>$29</a:t>
                    </a:r>
                    <a:r>
                      <a:rPr lang="en-US" baseline="0"/>
                      <a:t> M</a:t>
                    </a:r>
                    <a:endParaRPr lang="en-US"/>
                  </a:p>
                </c:rich>
              </c:tx>
              <c:showVal val="1"/>
              <c:showCatName val="1"/>
            </c:dLbl>
            <c:dLbl>
              <c:idx val="2"/>
              <c:layout>
                <c:manualLayout>
                  <c:x val="-9.2433391622937913E-2"/>
                  <c:y val="-9.3280482350398028E-2"/>
                </c:manualLayout>
              </c:layout>
              <c:tx>
                <c:rich>
                  <a:bodyPr/>
                  <a:lstStyle/>
                  <a:p>
                    <a:r>
                      <a:rPr lang="en-US" baseline="0"/>
                      <a:t>E</a:t>
                    </a:r>
                    <a:r>
                      <a:rPr lang="en-US"/>
                      <a:t>I Sickness</a:t>
                    </a:r>
                  </a:p>
                  <a:p>
                    <a:r>
                      <a:rPr lang="en-US"/>
                      <a:t>$12 M</a:t>
                    </a:r>
                  </a:p>
                </c:rich>
              </c:tx>
              <c:showVal val="1"/>
              <c:showCatName val="1"/>
            </c:dLbl>
            <c:dLbl>
              <c:idx val="3"/>
              <c:layout>
                <c:manualLayout>
                  <c:x val="3.005544772708621E-2"/>
                  <c:y val="-0.14775409246467194"/>
                </c:manualLayout>
              </c:layout>
              <c:tx>
                <c:rich>
                  <a:bodyPr/>
                  <a:lstStyle/>
                  <a:p>
                    <a:r>
                      <a:rPr lang="en-US" baseline="0"/>
                      <a:t>V</a:t>
                    </a:r>
                    <a:r>
                      <a:rPr lang="en-US"/>
                      <a:t>eterans' Disability Pensions &amp; Awards</a:t>
                    </a:r>
                  </a:p>
                  <a:p>
                    <a:r>
                      <a:rPr lang="en-US"/>
                      <a:t>$22 M</a:t>
                    </a:r>
                  </a:p>
                </c:rich>
              </c:tx>
              <c:showVal val="1"/>
              <c:showCatName val="1"/>
            </c:dLbl>
            <c:dLbl>
              <c:idx val="4"/>
              <c:layout>
                <c:manualLayout>
                  <c:x val="0.18115759144311369"/>
                  <c:y val="-9.6205020504780525E-2"/>
                </c:manualLayout>
              </c:layout>
              <c:tx>
                <c:rich>
                  <a:bodyPr/>
                  <a:lstStyle/>
                  <a:p>
                    <a:r>
                      <a:rPr lang="en-US" baseline="0"/>
                      <a:t>I</a:t>
                    </a:r>
                    <a:r>
                      <a:rPr lang="en-US"/>
                      <a:t>ncome Asst. for the Disabled</a:t>
                    </a:r>
                  </a:p>
                  <a:p>
                    <a:r>
                      <a:rPr lang="en-US"/>
                      <a:t>$16</a:t>
                    </a:r>
                    <a:r>
                      <a:rPr lang="en-US" baseline="0"/>
                      <a:t> M</a:t>
                    </a:r>
                    <a:endParaRPr lang="en-US"/>
                  </a:p>
                </c:rich>
              </c:tx>
              <c:showVal val="1"/>
              <c:showCatName val="1"/>
            </c:dLbl>
            <c:dLbl>
              <c:idx val="5"/>
              <c:layout>
                <c:manualLayout>
                  <c:x val="-3.6493925227506406E-2"/>
                  <c:y val="5.3789059313239844E-2"/>
                </c:manualLayout>
              </c:layout>
              <c:tx>
                <c:rich>
                  <a:bodyPr/>
                  <a:lstStyle/>
                  <a:p>
                    <a:r>
                      <a:rPr lang="en-US" baseline="0"/>
                      <a:t>F</a:t>
                    </a:r>
                    <a:r>
                      <a:rPr lang="en-US"/>
                      <a:t>irst Nations SA for Disabled</a:t>
                    </a:r>
                  </a:p>
                  <a:p>
                    <a:r>
                      <a:rPr lang="en-US"/>
                      <a:t>$0.5 M</a:t>
                    </a:r>
                    <a:r>
                      <a:rPr lang="en-US" baseline="0"/>
                      <a:t> </a:t>
                    </a:r>
                    <a:endParaRPr lang="en-US"/>
                  </a:p>
                </c:rich>
              </c:tx>
              <c:showVal val="1"/>
              <c:showCatName val="1"/>
            </c:dLbl>
            <c:dLbl>
              <c:idx val="6"/>
              <c:tx>
                <c:rich>
                  <a:bodyPr/>
                  <a:lstStyle/>
                  <a:p>
                    <a:r>
                      <a:rPr lang="en-US" baseline="0"/>
                      <a:t>W</a:t>
                    </a:r>
                    <a:r>
                      <a:rPr lang="en-US"/>
                      <a:t>orker's Compensation</a:t>
                    </a:r>
                  </a:p>
                  <a:p>
                    <a:r>
                      <a:rPr lang="en-US"/>
                      <a:t>$12 M</a:t>
                    </a:r>
                  </a:p>
                </c:rich>
              </c:tx>
              <c:showVal val="1"/>
              <c:showCatName val="1"/>
            </c:dLbl>
            <c:dLbl>
              <c:idx val="7"/>
              <c:layout>
                <c:manualLayout>
                  <c:x val="0.10645234116082745"/>
                  <c:y val="0.16895707344295249"/>
                </c:manualLayout>
              </c:layout>
              <c:tx>
                <c:rich>
                  <a:bodyPr/>
                  <a:lstStyle/>
                  <a:p>
                    <a:r>
                      <a:rPr lang="en-US" baseline="0"/>
                      <a:t>P</a:t>
                    </a:r>
                    <a:r>
                      <a:rPr lang="en-US"/>
                      <a:t>rivate Disability Insurance</a:t>
                    </a:r>
                  </a:p>
                  <a:p>
                    <a:r>
                      <a:rPr lang="en-US"/>
                      <a:t>$17</a:t>
                    </a:r>
                    <a:r>
                      <a:rPr lang="en-US" baseline="0"/>
                      <a:t> M</a:t>
                    </a:r>
                    <a:endParaRPr lang="en-US"/>
                  </a:p>
                </c:rich>
              </c:tx>
              <c:showVal val="1"/>
              <c:showCatName val="1"/>
            </c:dLbl>
            <c:txPr>
              <a:bodyPr/>
              <a:lstStyle/>
              <a:p>
                <a:pPr>
                  <a:defRPr lang="en-US" sz="1200" b="1" i="0" baseline="0"/>
                </a:pPr>
                <a:endParaRPr lang="en-US"/>
              </a:p>
            </c:txPr>
            <c:showVal val="1"/>
            <c:showCatName val="1"/>
            <c:showLeaderLines val="1"/>
          </c:dLbls>
          <c:cat>
            <c:strRef>
              <c:f>(PEI!$A$259:$A$264,PEI!$A$266:$A$267)</c:f>
              <c:strCache>
                <c:ptCount val="8"/>
                <c:pt idx="0">
                  <c:v>Disability Tax Measures</c:v>
                </c:pt>
                <c:pt idx="1">
                  <c:v>CPP-D</c:v>
                </c:pt>
                <c:pt idx="2">
                  <c:v>EI Sickness</c:v>
                </c:pt>
                <c:pt idx="3">
                  <c:v>Veterans' Disability Pensions &amp; Awards</c:v>
                </c:pt>
                <c:pt idx="4">
                  <c:v>Income Asst. for the Disabled</c:v>
                </c:pt>
                <c:pt idx="5">
                  <c:v>First Nations SA for Disabled </c:v>
                </c:pt>
                <c:pt idx="6">
                  <c:v>Workers' Compensation </c:v>
                </c:pt>
                <c:pt idx="7">
                  <c:v>Private Disability Insurance</c:v>
                </c:pt>
              </c:strCache>
            </c:strRef>
          </c:cat>
          <c:val>
            <c:numRef>
              <c:f>(PEI!$D$259:$D$264,PEI!$D$266:$D$267)</c:f>
              <c:numCache>
                <c:formatCode>#,##0.0</c:formatCode>
                <c:ptCount val="8"/>
                <c:pt idx="0">
                  <c:v>8.1939999999999991</c:v>
                </c:pt>
                <c:pt idx="1">
                  <c:v>29.3</c:v>
                </c:pt>
                <c:pt idx="2">
                  <c:v>11.6</c:v>
                </c:pt>
                <c:pt idx="3">
                  <c:v>22.3322</c:v>
                </c:pt>
                <c:pt idx="4">
                  <c:v>16.060000000000002</c:v>
                </c:pt>
                <c:pt idx="5">
                  <c:v>0.52690000000000003</c:v>
                </c:pt>
                <c:pt idx="6">
                  <c:v>11.7</c:v>
                </c:pt>
                <c:pt idx="7">
                  <c:v>17</c:v>
                </c:pt>
              </c:numCache>
            </c:numRef>
          </c:val>
        </c:ser>
        <c:dLbls>
          <c:showCatName val="1"/>
          <c:showPercent val="1"/>
        </c:dLbls>
        <c:firstSliceAng val="0"/>
      </c:pieChart>
    </c:plotArea>
    <c:plotVisOnly val="1"/>
    <c:dispBlanksAs val="zero"/>
  </c:chart>
</c:chartSpace>
</file>

<file path=xl/charts/chart95.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PERSONS WITH DISABILITIES BY PROGRAM:  </a:t>
            </a:r>
            <a:endParaRPr lang="en-CA"/>
          </a:p>
          <a:p>
            <a:pPr>
              <a:defRPr/>
            </a:pPr>
            <a:r>
              <a:rPr lang="en-US" sz="1800" b="1" i="0" baseline="0"/>
              <a:t>PERCENTAGE CHANGE IN EXPENDITURES FROM 2005 TO 2013</a:t>
            </a:r>
          </a:p>
          <a:p>
            <a:pPr>
              <a:defRPr/>
            </a:pPr>
            <a:r>
              <a:rPr lang="en-US" sz="1800" b="1" i="0" baseline="0"/>
              <a:t>PRINCE EDWARD ISLAND</a:t>
            </a:r>
            <a:endParaRPr lang="en-CA"/>
          </a:p>
        </c:rich>
      </c:tx>
    </c:title>
    <c:plotArea>
      <c:layout/>
      <c:barChart>
        <c:barDir val="col"/>
        <c:grouping val="clustered"/>
        <c:ser>
          <c:idx val="1"/>
          <c:order val="0"/>
          <c:spPr>
            <a:solidFill>
              <a:srgbClr val="F79646"/>
            </a:solidFill>
          </c:spPr>
          <c:dLbls>
            <c:dLbl>
              <c:idx val="2"/>
              <c:layout>
                <c:manualLayout>
                  <c:x val="0"/>
                  <c:y val="-4.0404040404040404E-3"/>
                </c:manualLayout>
              </c:layout>
              <c:showVal val="1"/>
            </c:dLbl>
            <c:dLbl>
              <c:idx val="8"/>
              <c:layout>
                <c:manualLayout>
                  <c:x val="0"/>
                  <c:y val="-6.0606060606060623E-3"/>
                </c:manualLayout>
              </c:layout>
              <c:showVal val="1"/>
            </c:dLbl>
            <c:txPr>
              <a:bodyPr/>
              <a:lstStyle/>
              <a:p>
                <a:pPr>
                  <a:defRPr sz="1200" b="1"/>
                </a:pPr>
                <a:endParaRPr lang="en-US"/>
              </a:p>
            </c:txPr>
            <c:showVal val="1"/>
          </c:dLbls>
          <c:cat>
            <c:strRef>
              <c:f>PEI!$A$259:$A$267</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PEI!$M$259:$M$267</c:f>
              <c:numCache>
                <c:formatCode>0.0%</c:formatCode>
                <c:ptCount val="9"/>
                <c:pt idx="0">
                  <c:v>0.40612865497076051</c:v>
                </c:pt>
                <c:pt idx="1">
                  <c:v>0.26923076923076922</c:v>
                </c:pt>
                <c:pt idx="2">
                  <c:v>0.96249999999999991</c:v>
                </c:pt>
                <c:pt idx="3">
                  <c:v>0.12538427755819076</c:v>
                </c:pt>
                <c:pt idx="4">
                  <c:v>0.30627306273062715</c:v>
                </c:pt>
                <c:pt idx="5">
                  <c:v>0.19646568780589388</c:v>
                </c:pt>
                <c:pt idx="6">
                  <c:v>0.30284612109729175</c:v>
                </c:pt>
                <c:pt idx="7">
                  <c:v>0.48113207547169812</c:v>
                </c:pt>
                <c:pt idx="8">
                  <c:v>1.1666666666666667</c:v>
                </c:pt>
              </c:numCache>
            </c:numRef>
          </c:val>
        </c:ser>
        <c:dLbls/>
        <c:gapWidth val="50"/>
        <c:axId val="150344832"/>
        <c:axId val="150346368"/>
      </c:barChart>
      <c:catAx>
        <c:axId val="150344832"/>
        <c:scaling>
          <c:orientation val="minMax"/>
        </c:scaling>
        <c:axPos val="b"/>
        <c:majorTickMark val="none"/>
        <c:tickLblPos val="nextTo"/>
        <c:txPr>
          <a:bodyPr/>
          <a:lstStyle/>
          <a:p>
            <a:pPr>
              <a:defRPr sz="1100" b="1"/>
            </a:pPr>
            <a:endParaRPr lang="en-US"/>
          </a:p>
        </c:txPr>
        <c:crossAx val="150346368"/>
        <c:crosses val="autoZero"/>
        <c:auto val="1"/>
        <c:lblAlgn val="ctr"/>
        <c:lblOffset val="100"/>
      </c:catAx>
      <c:valAx>
        <c:axId val="150346368"/>
        <c:scaling>
          <c:orientation val="minMax"/>
        </c:scaling>
        <c:axPos val="l"/>
        <c:majorGridlines/>
        <c:numFmt formatCode="0%" sourceLinked="0"/>
        <c:majorTickMark val="none"/>
        <c:tickLblPos val="nextTo"/>
        <c:crossAx val="150344832"/>
        <c:crosses val="autoZero"/>
        <c:crossBetween val="between"/>
      </c:valAx>
    </c:plotArea>
    <c:plotVisOnly val="1"/>
    <c:dispBlanksAs val="gap"/>
  </c:chart>
</c:chartSpace>
</file>

<file path=xl/charts/chart96.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2010-11 </a:t>
            </a:r>
            <a:endParaRPr lang="en-US"/>
          </a:p>
          <a:p>
            <a:pPr>
              <a:defRPr lang="en-US"/>
            </a:pPr>
            <a:r>
              <a:rPr lang="en-US" sz="1800" b="1" i="0" baseline="0"/>
              <a:t>Prince Edward Island</a:t>
            </a:r>
            <a:endParaRPr lang="en-US"/>
          </a:p>
        </c:rich>
      </c:tx>
    </c:title>
    <c:plotArea>
      <c:layout>
        <c:manualLayout>
          <c:layoutTarget val="inner"/>
          <c:xMode val="edge"/>
          <c:yMode val="edge"/>
          <c:x val="6.243752421530957E-2"/>
          <c:y val="0.17945452427290484"/>
          <c:w val="0.92439026976170857"/>
          <c:h val="0.68001622732990907"/>
        </c:manualLayout>
      </c:layout>
      <c:barChart>
        <c:barDir val="col"/>
        <c:grouping val="clustered"/>
        <c:ser>
          <c:idx val="5"/>
          <c:order val="0"/>
          <c:spPr>
            <a:solidFill>
              <a:schemeClr val="accent3"/>
            </a:solidFill>
          </c:spPr>
          <c:dLbls>
            <c:dLbl>
              <c:idx val="1"/>
              <c:layout>
                <c:manualLayout>
                  <c:x val="0"/>
                  <c:y val="8.0628751895490767E-3"/>
                </c:manualLayout>
              </c:layout>
              <c:showVal val="1"/>
            </c:dLbl>
            <c:dLbl>
              <c:idx val="3"/>
              <c:layout>
                <c:manualLayout>
                  <c:x val="0"/>
                  <c:y val="-1.2094312784323326E-2"/>
                </c:manualLayout>
              </c:layout>
              <c:showVal val="1"/>
            </c:dLbl>
            <c:dLbl>
              <c:idx val="5"/>
              <c:layout>
                <c:manualLayout>
                  <c:x val="1.4635784469980641E-3"/>
                  <c:y val="-1.2094312784323429E-2"/>
                </c:manualLayout>
              </c:layout>
              <c:showVal val="1"/>
            </c:dLbl>
            <c:txPr>
              <a:bodyPr/>
              <a:lstStyle/>
              <a:p>
                <a:pPr>
                  <a:defRPr lang="en-US" sz="1200" b="1" i="0" baseline="0"/>
                </a:pPr>
                <a:endParaRPr lang="en-US"/>
              </a:p>
            </c:txPr>
            <c:showVal val="1"/>
          </c:dLbls>
          <c:cat>
            <c:strRef>
              <c:f>(PEI!$A$259:$A$264,PEI!$A$265,PEI!$A$266:$A$267)</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(PEI!$G$259:$G$264,PEI!$G$265,PEI!$G$266:$G$267)</c:f>
              <c:numCache>
                <c:formatCode>0.0%</c:formatCode>
                <c:ptCount val="9"/>
                <c:pt idx="0">
                  <c:v>0.28093567251461987</c:v>
                </c:pt>
                <c:pt idx="1">
                  <c:v>0.17692307692307699</c:v>
                </c:pt>
                <c:pt idx="2">
                  <c:v>0.5</c:v>
                </c:pt>
                <c:pt idx="3">
                  <c:v>0.24066754501537135</c:v>
                </c:pt>
                <c:pt idx="4">
                  <c:v>0.13653136531365315</c:v>
                </c:pt>
                <c:pt idx="5">
                  <c:v>8.1099656357388139E-2</c:v>
                </c:pt>
                <c:pt idx="6">
                  <c:v>0.13480141565080603</c:v>
                </c:pt>
                <c:pt idx="7">
                  <c:v>0.26415094339622647</c:v>
                </c:pt>
                <c:pt idx="8">
                  <c:v>0.5</c:v>
                </c:pt>
              </c:numCache>
            </c:numRef>
          </c:val>
        </c:ser>
        <c:dLbls/>
        <c:gapWidth val="50"/>
        <c:axId val="150428288"/>
        <c:axId val="150442368"/>
      </c:barChart>
      <c:catAx>
        <c:axId val="150428288"/>
        <c:scaling>
          <c:orientation val="minMax"/>
        </c:scaling>
        <c:axPos val="b"/>
        <c:majorTickMark val="none"/>
        <c:tickLblPos val="nextTo"/>
        <c:txPr>
          <a:bodyPr/>
          <a:lstStyle/>
          <a:p>
            <a:pPr>
              <a:defRPr lang="en-US" sz="1050" b="1" i="0" baseline="0"/>
            </a:pPr>
            <a:endParaRPr lang="en-US"/>
          </a:p>
        </c:txPr>
        <c:crossAx val="150442368"/>
        <c:crosses val="autoZero"/>
        <c:auto val="1"/>
        <c:lblAlgn val="ctr"/>
        <c:lblOffset val="100"/>
      </c:catAx>
      <c:valAx>
        <c:axId val="150442368"/>
        <c:scaling>
          <c:orientation val="minMax"/>
        </c:scaling>
        <c:axPos val="l"/>
        <c:majorGridlines/>
        <c:numFmt formatCode="0%" sourceLinked="0"/>
        <c:majorTickMark val="none"/>
        <c:tickLblPos val="nextTo"/>
        <c:txPr>
          <a:bodyPr/>
          <a:lstStyle/>
          <a:p>
            <a:pPr>
              <a:defRPr lang="en-US"/>
            </a:pPr>
            <a:endParaRPr lang="en-US"/>
          </a:p>
        </c:txPr>
        <c:crossAx val="150428288"/>
        <c:crosses val="autoZero"/>
        <c:crossBetween val="between"/>
      </c:valAx>
    </c:plotArea>
    <c:plotVisOnly val="1"/>
    <c:dispBlanksAs val="gap"/>
  </c:chart>
</c:chartSpace>
</file>

<file path=xl/charts/chart97.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endParaRPr lang="en-US"/>
          </a:p>
          <a:p>
            <a:pPr>
              <a:defRPr lang="en-US"/>
            </a:pPr>
            <a:r>
              <a:rPr lang="en-US" sz="1800" b="1" i="0" baseline="0"/>
              <a:t>Percentage Change in Expenditures from 2005-06 to 2009-10 </a:t>
            </a:r>
          </a:p>
          <a:p>
            <a:pPr>
              <a:defRPr lang="en-US"/>
            </a:pPr>
            <a:r>
              <a:rPr lang="en-US" sz="1800" b="1" i="0" baseline="0"/>
              <a:t>Prince Edward Island</a:t>
            </a:r>
          </a:p>
        </c:rich>
      </c:tx>
    </c:title>
    <c:plotArea>
      <c:layout/>
      <c:barChart>
        <c:barDir val="col"/>
        <c:grouping val="clustered"/>
        <c:ser>
          <c:idx val="3"/>
          <c:order val="0"/>
          <c:spPr>
            <a:solidFill>
              <a:srgbClr val="4F81BD"/>
            </a:solidFill>
          </c:spPr>
          <c:dLbls>
            <c:dLbl>
              <c:idx val="1"/>
              <c:layout>
                <c:manualLayout>
                  <c:x val="0"/>
                  <c:y val="4.0314375947746216E-3"/>
                </c:manualLayout>
              </c:layout>
              <c:showVal val="1"/>
            </c:dLbl>
            <c:dLbl>
              <c:idx val="3"/>
              <c:layout>
                <c:manualLayout>
                  <c:x val="0"/>
                  <c:y val="4.0314375947746216E-3"/>
                </c:manualLayout>
              </c:layout>
              <c:showVal val="1"/>
            </c:dLbl>
            <c:dLbl>
              <c:idx val="4"/>
              <c:layout>
                <c:manualLayout>
                  <c:x val="0"/>
                  <c:y val="4.0314375947746216E-3"/>
                </c:manualLayout>
              </c:layout>
              <c:showVal val="1"/>
            </c:dLbl>
            <c:dLbl>
              <c:idx val="6"/>
              <c:layout>
                <c:manualLayout>
                  <c:x val="0"/>
                  <c:y val="6.0471563921617524E-3"/>
                </c:manualLayout>
              </c:layout>
              <c:showVal val="1"/>
            </c:dLbl>
            <c:txPr>
              <a:bodyPr/>
              <a:lstStyle/>
              <a:p>
                <a:pPr>
                  <a:defRPr lang="en-US" sz="1200" b="1" i="0" baseline="0"/>
                </a:pPr>
                <a:endParaRPr lang="en-US"/>
              </a:p>
            </c:txPr>
            <c:showVal val="1"/>
          </c:dLbls>
          <c:cat>
            <c:strRef>
              <c:f>PEI!$A$259:$A$267</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PEI!$E$259:$E$267</c:f>
              <c:numCache>
                <c:formatCode>0.0%</c:formatCode>
                <c:ptCount val="9"/>
                <c:pt idx="0">
                  <c:v>0.19795321637426888</c:v>
                </c:pt>
                <c:pt idx="1">
                  <c:v>0.12692307692307694</c:v>
                </c:pt>
                <c:pt idx="2">
                  <c:v>0.44999999999999996</c:v>
                </c:pt>
                <c:pt idx="3">
                  <c:v>0.22596618357487941</c:v>
                </c:pt>
                <c:pt idx="4">
                  <c:v>7.7490774907749152E-2</c:v>
                </c:pt>
                <c:pt idx="5">
                  <c:v>9.7365406643757188E-2</c:v>
                </c:pt>
                <c:pt idx="6">
                  <c:v>7.8111035641511603E-2</c:v>
                </c:pt>
                <c:pt idx="7">
                  <c:v>0.10377358490566034</c:v>
                </c:pt>
                <c:pt idx="8">
                  <c:v>0.41666666666666669</c:v>
                </c:pt>
              </c:numCache>
            </c:numRef>
          </c:val>
        </c:ser>
        <c:dLbls/>
        <c:gapWidth val="50"/>
        <c:axId val="150495616"/>
        <c:axId val="150497152"/>
      </c:barChart>
      <c:catAx>
        <c:axId val="150495616"/>
        <c:scaling>
          <c:orientation val="minMax"/>
        </c:scaling>
        <c:axPos val="b"/>
        <c:majorTickMark val="none"/>
        <c:tickLblPos val="nextTo"/>
        <c:txPr>
          <a:bodyPr/>
          <a:lstStyle/>
          <a:p>
            <a:pPr>
              <a:defRPr lang="en-US" sz="1100" b="1" i="0" baseline="0"/>
            </a:pPr>
            <a:endParaRPr lang="en-US"/>
          </a:p>
        </c:txPr>
        <c:crossAx val="150497152"/>
        <c:crosses val="autoZero"/>
        <c:auto val="1"/>
        <c:lblAlgn val="ctr"/>
        <c:lblOffset val="100"/>
      </c:catAx>
      <c:valAx>
        <c:axId val="150497152"/>
        <c:scaling>
          <c:orientation val="minMax"/>
        </c:scaling>
        <c:axPos val="l"/>
        <c:majorGridlines/>
        <c:numFmt formatCode="0%" sourceLinked="0"/>
        <c:majorTickMark val="none"/>
        <c:tickLblPos val="nextTo"/>
        <c:txPr>
          <a:bodyPr/>
          <a:lstStyle/>
          <a:p>
            <a:pPr>
              <a:defRPr lang="en-US"/>
            </a:pPr>
            <a:endParaRPr lang="en-US"/>
          </a:p>
        </c:txPr>
        <c:crossAx val="150495616"/>
        <c:crosses val="autoZero"/>
        <c:crossBetween val="between"/>
      </c:valAx>
    </c:plotArea>
    <c:plotVisOnly val="1"/>
    <c:dispBlanksAs val="gap"/>
  </c:chart>
</c:chartSpace>
</file>

<file path=xl/charts/chart98.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a:pPr>
            <a:r>
              <a:rPr lang="en-US" sz="1800" b="1" i="0" baseline="0"/>
              <a:t>Income Support for the Disabled by Program:  </a:t>
            </a:r>
            <a:endParaRPr lang="en-CA"/>
          </a:p>
          <a:p>
            <a:pPr>
              <a:defRPr/>
            </a:pPr>
            <a:r>
              <a:rPr lang="en-US" sz="1800" b="1" i="0" baseline="0"/>
              <a:t>Percentage Change in Expenditures from 2005-06 to </a:t>
            </a:r>
            <a:endParaRPr lang="en-CA"/>
          </a:p>
          <a:p>
            <a:pPr>
              <a:defRPr/>
            </a:pPr>
            <a:r>
              <a:rPr lang="en-US" sz="1800" b="1" i="0" baseline="0"/>
              <a:t>2009-10, 2010-11 and 2911-12</a:t>
            </a:r>
          </a:p>
          <a:p>
            <a:pPr>
              <a:defRPr/>
            </a:pPr>
            <a:r>
              <a:rPr lang="en-US" sz="1800" b="1" i="0" baseline="0"/>
              <a:t>Prince Edward Island</a:t>
            </a:r>
            <a:endParaRPr lang="en-CA"/>
          </a:p>
        </c:rich>
      </c:tx>
    </c:title>
    <c:plotArea>
      <c:layout>
        <c:manualLayout>
          <c:layoutTarget val="inner"/>
          <c:xMode val="edge"/>
          <c:yMode val="edge"/>
          <c:x val="4.8431636860524423E-2"/>
          <c:y val="0.21791458887930881"/>
          <c:w val="0.93545662309000344"/>
          <c:h val="0.6409284762412587"/>
        </c:manualLayout>
      </c:layout>
      <c:barChart>
        <c:barDir val="col"/>
        <c:grouping val="clustered"/>
        <c:ser>
          <c:idx val="3"/>
          <c:order val="0"/>
          <c:spPr>
            <a:solidFill>
              <a:schemeClr val="accent1"/>
            </a:solidFill>
          </c:spPr>
          <c:cat>
            <c:strRef>
              <c:f>PEI!$A$259:$A$267</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PEI!$E$259:$E$267</c:f>
              <c:numCache>
                <c:formatCode>0.0%</c:formatCode>
                <c:ptCount val="9"/>
                <c:pt idx="0">
                  <c:v>0.19795321637426888</c:v>
                </c:pt>
                <c:pt idx="1">
                  <c:v>0.12692307692307694</c:v>
                </c:pt>
                <c:pt idx="2">
                  <c:v>0.44999999999999996</c:v>
                </c:pt>
                <c:pt idx="3">
                  <c:v>0.22596618357487941</c:v>
                </c:pt>
                <c:pt idx="4">
                  <c:v>7.7490774907749152E-2</c:v>
                </c:pt>
                <c:pt idx="5">
                  <c:v>9.7365406643757188E-2</c:v>
                </c:pt>
                <c:pt idx="6">
                  <c:v>7.8111035641511603E-2</c:v>
                </c:pt>
                <c:pt idx="7">
                  <c:v>0.10377358490566034</c:v>
                </c:pt>
                <c:pt idx="8">
                  <c:v>0.41666666666666669</c:v>
                </c:pt>
              </c:numCache>
            </c:numRef>
          </c:val>
        </c:ser>
        <c:ser>
          <c:idx val="5"/>
          <c:order val="1"/>
          <c:spPr>
            <a:solidFill>
              <a:schemeClr val="accent3"/>
            </a:solidFill>
          </c:spPr>
          <c:cat>
            <c:strRef>
              <c:f>PEI!$A$259:$A$267</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PEI!$G$259:$G$267</c:f>
              <c:numCache>
                <c:formatCode>0.0%</c:formatCode>
                <c:ptCount val="9"/>
                <c:pt idx="0">
                  <c:v>0.28093567251461987</c:v>
                </c:pt>
                <c:pt idx="1">
                  <c:v>0.17692307692307699</c:v>
                </c:pt>
                <c:pt idx="2">
                  <c:v>0.5</c:v>
                </c:pt>
                <c:pt idx="3">
                  <c:v>0.24066754501537135</c:v>
                </c:pt>
                <c:pt idx="4">
                  <c:v>0.13653136531365315</c:v>
                </c:pt>
                <c:pt idx="5">
                  <c:v>8.1099656357388139E-2</c:v>
                </c:pt>
                <c:pt idx="6">
                  <c:v>0.13480141565080603</c:v>
                </c:pt>
                <c:pt idx="7">
                  <c:v>0.26415094339622647</c:v>
                </c:pt>
                <c:pt idx="8">
                  <c:v>0.5</c:v>
                </c:pt>
              </c:numCache>
            </c:numRef>
          </c:val>
        </c:ser>
        <c:ser>
          <c:idx val="7"/>
          <c:order val="2"/>
          <c:spPr>
            <a:solidFill>
              <a:schemeClr val="accent6">
                <a:lumMod val="75000"/>
              </a:schemeClr>
            </a:solidFill>
          </c:spPr>
          <c:cat>
            <c:strRef>
              <c:f>PEI!$A$259:$A$267</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PEI!$I$259:$I$267</c:f>
              <c:numCache>
                <c:formatCode>0.0%</c:formatCode>
                <c:ptCount val="9"/>
                <c:pt idx="0">
                  <c:v>0.34997660818713439</c:v>
                </c:pt>
                <c:pt idx="1">
                  <c:v>0.26153846153846144</c:v>
                </c:pt>
                <c:pt idx="2">
                  <c:v>0.75</c:v>
                </c:pt>
                <c:pt idx="3">
                  <c:v>0.16381203337725089</c:v>
                </c:pt>
                <c:pt idx="4">
                  <c:v>0.26199261992619932</c:v>
                </c:pt>
                <c:pt idx="5">
                  <c:v>7.2164948453608269E-2</c:v>
                </c:pt>
                <c:pt idx="6">
                  <c:v>0.25606835162478114</c:v>
                </c:pt>
                <c:pt idx="7">
                  <c:v>0.29245283018867924</c:v>
                </c:pt>
                <c:pt idx="8">
                  <c:v>0.5</c:v>
                </c:pt>
              </c:numCache>
            </c:numRef>
          </c:val>
        </c:ser>
        <c:dLbls/>
        <c:gapWidth val="75"/>
        <c:axId val="150589824"/>
        <c:axId val="150591360"/>
      </c:barChart>
      <c:catAx>
        <c:axId val="150589824"/>
        <c:scaling>
          <c:orientation val="minMax"/>
        </c:scaling>
        <c:axPos val="b"/>
        <c:majorTickMark val="none"/>
        <c:tickLblPos val="nextTo"/>
        <c:txPr>
          <a:bodyPr/>
          <a:lstStyle/>
          <a:p>
            <a:pPr>
              <a:defRPr sz="1150" b="1"/>
            </a:pPr>
            <a:endParaRPr lang="en-US"/>
          </a:p>
        </c:txPr>
        <c:crossAx val="150591360"/>
        <c:crosses val="autoZero"/>
        <c:auto val="1"/>
        <c:lblAlgn val="ctr"/>
        <c:lblOffset val="100"/>
      </c:catAx>
      <c:valAx>
        <c:axId val="150591360"/>
        <c:scaling>
          <c:orientation val="minMax"/>
        </c:scaling>
        <c:axPos val="l"/>
        <c:majorGridlines/>
        <c:numFmt formatCode="0%" sourceLinked="0"/>
        <c:majorTickMark val="none"/>
        <c:tickLblPos val="nextTo"/>
        <c:crossAx val="150589824"/>
        <c:crosses val="autoZero"/>
        <c:crossBetween val="between"/>
      </c:valAx>
    </c:plotArea>
    <c:plotVisOnly val="1"/>
    <c:dispBlanksAs val="gap"/>
  </c:chart>
  <c:userShapes r:id="rId1"/>
</c:chartSpace>
</file>

<file path=xl/charts/chart99.xml><?xml version="1.0" encoding="utf-8"?>
<c:chartSpace xmlns:c="http://schemas.openxmlformats.org/drawingml/2006/chart" xmlns:a="http://schemas.openxmlformats.org/drawingml/2006/main" xmlns:r="http://schemas.openxmlformats.org/officeDocument/2006/relationships">
  <c:lang val="en-CA"/>
  <c:chart>
    <c:title>
      <c:tx>
        <c:rich>
          <a:bodyPr/>
          <a:lstStyle/>
          <a:p>
            <a:pPr>
              <a:defRPr lang="en-US"/>
            </a:pPr>
            <a:r>
              <a:rPr lang="en-US" sz="1800" b="1" i="0" baseline="0"/>
              <a:t>Income Support for the Disabled by Program:  </a:t>
            </a:r>
          </a:p>
          <a:p>
            <a:pPr>
              <a:defRPr lang="en-US"/>
            </a:pPr>
            <a:r>
              <a:rPr lang="en-US" sz="1800" b="1" i="0" baseline="0"/>
              <a:t>Percentage Change in Expenditures from 2005-06 to </a:t>
            </a:r>
          </a:p>
          <a:p>
            <a:pPr>
              <a:defRPr lang="en-US"/>
            </a:pPr>
            <a:r>
              <a:rPr lang="en-US" sz="1800" b="1" i="0" baseline="0"/>
              <a:t>2009-10 and 2010-11 </a:t>
            </a:r>
            <a:endParaRPr lang="en-US"/>
          </a:p>
          <a:p>
            <a:pPr>
              <a:defRPr lang="en-US"/>
            </a:pPr>
            <a:r>
              <a:rPr lang="en-US" sz="1800" b="1" i="0" baseline="0"/>
              <a:t>Prince Edward Island</a:t>
            </a:r>
            <a:endParaRPr lang="en-US"/>
          </a:p>
        </c:rich>
      </c:tx>
    </c:title>
    <c:plotArea>
      <c:layout>
        <c:manualLayout>
          <c:layoutTarget val="inner"/>
          <c:xMode val="edge"/>
          <c:yMode val="edge"/>
          <c:x val="6.0973945768310688E-2"/>
          <c:y val="0.2178539673631319"/>
          <c:w val="0.91518505278447793"/>
          <c:h val="0.65985919807405935"/>
        </c:manualLayout>
      </c:layout>
      <c:barChart>
        <c:barDir val="col"/>
        <c:grouping val="clustered"/>
        <c:ser>
          <c:idx val="3"/>
          <c:order val="0"/>
          <c:spPr>
            <a:solidFill>
              <a:schemeClr val="accent1"/>
            </a:solidFill>
          </c:spPr>
          <c:cat>
            <c:strRef>
              <c:f>PEI!$A$259:$A$267</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PEI!$E$259:$E$267</c:f>
              <c:numCache>
                <c:formatCode>0.0%</c:formatCode>
                <c:ptCount val="9"/>
                <c:pt idx="0">
                  <c:v>0.19795321637426888</c:v>
                </c:pt>
                <c:pt idx="1">
                  <c:v>0.12692307692307694</c:v>
                </c:pt>
                <c:pt idx="2">
                  <c:v>0.44999999999999996</c:v>
                </c:pt>
                <c:pt idx="3">
                  <c:v>0.22596618357487941</c:v>
                </c:pt>
                <c:pt idx="4">
                  <c:v>7.7490774907749152E-2</c:v>
                </c:pt>
                <c:pt idx="5">
                  <c:v>9.7365406643757188E-2</c:v>
                </c:pt>
                <c:pt idx="6">
                  <c:v>7.8111035641511603E-2</c:v>
                </c:pt>
                <c:pt idx="7">
                  <c:v>0.10377358490566034</c:v>
                </c:pt>
                <c:pt idx="8">
                  <c:v>0.41666666666666669</c:v>
                </c:pt>
              </c:numCache>
            </c:numRef>
          </c:val>
        </c:ser>
        <c:ser>
          <c:idx val="5"/>
          <c:order val="1"/>
          <c:spPr>
            <a:solidFill>
              <a:schemeClr val="accent3"/>
            </a:solidFill>
          </c:spPr>
          <c:cat>
            <c:strRef>
              <c:f>PEI!$A$259:$A$267</c:f>
              <c:strCache>
                <c:ptCount val="9"/>
                <c:pt idx="0">
                  <c:v>Disability Tax Measures</c:v>
                </c:pt>
                <c:pt idx="1">
                  <c:v>CPP-D</c:v>
                </c:pt>
                <c:pt idx="2">
                  <c:v>EI Sickness</c:v>
                </c:pt>
                <c:pt idx="3">
                  <c:v>Veterans' Disability Pensions &amp; Awards</c:v>
                </c:pt>
                <c:pt idx="4">
                  <c:v>Income Asst. for the Disabled</c:v>
                </c:pt>
                <c:pt idx="5">
                  <c:v>First Nations SA for Disabled </c:v>
                </c:pt>
                <c:pt idx="6">
                  <c:v>Income Assistance &amp; FN SA</c:v>
                </c:pt>
                <c:pt idx="7">
                  <c:v>Workers' Compensation </c:v>
                </c:pt>
                <c:pt idx="8">
                  <c:v>Private Disability Insurance</c:v>
                </c:pt>
              </c:strCache>
            </c:strRef>
          </c:cat>
          <c:val>
            <c:numRef>
              <c:f>PEI!$G$259:$G$267</c:f>
              <c:numCache>
                <c:formatCode>0.0%</c:formatCode>
                <c:ptCount val="9"/>
                <c:pt idx="0">
                  <c:v>0.28093567251461987</c:v>
                </c:pt>
                <c:pt idx="1">
                  <c:v>0.17692307692307699</c:v>
                </c:pt>
                <c:pt idx="2">
                  <c:v>0.5</c:v>
                </c:pt>
                <c:pt idx="3">
                  <c:v>0.24066754501537135</c:v>
                </c:pt>
                <c:pt idx="4">
                  <c:v>0.13653136531365315</c:v>
                </c:pt>
                <c:pt idx="5">
                  <c:v>8.1099656357388139E-2</c:v>
                </c:pt>
                <c:pt idx="6">
                  <c:v>0.13480141565080603</c:v>
                </c:pt>
                <c:pt idx="7">
                  <c:v>0.26415094339622647</c:v>
                </c:pt>
                <c:pt idx="8">
                  <c:v>0.5</c:v>
                </c:pt>
              </c:numCache>
            </c:numRef>
          </c:val>
        </c:ser>
        <c:dLbls/>
        <c:gapWidth val="75"/>
        <c:axId val="150641664"/>
        <c:axId val="150663936"/>
      </c:barChart>
      <c:catAx>
        <c:axId val="150641664"/>
        <c:scaling>
          <c:orientation val="minMax"/>
        </c:scaling>
        <c:axPos val="b"/>
        <c:majorTickMark val="none"/>
        <c:tickLblPos val="nextTo"/>
        <c:txPr>
          <a:bodyPr/>
          <a:lstStyle/>
          <a:p>
            <a:pPr>
              <a:defRPr lang="en-US" sz="1050" b="1" i="0" baseline="0"/>
            </a:pPr>
            <a:endParaRPr lang="en-US"/>
          </a:p>
        </c:txPr>
        <c:crossAx val="150663936"/>
        <c:crosses val="autoZero"/>
        <c:auto val="1"/>
        <c:lblAlgn val="ctr"/>
        <c:lblOffset val="100"/>
      </c:catAx>
      <c:valAx>
        <c:axId val="150663936"/>
        <c:scaling>
          <c:orientation val="minMax"/>
        </c:scaling>
        <c:axPos val="l"/>
        <c:majorGridlines/>
        <c:numFmt formatCode="0%" sourceLinked="0"/>
        <c:majorTickMark val="none"/>
        <c:tickLblPos val="nextTo"/>
        <c:txPr>
          <a:bodyPr/>
          <a:lstStyle/>
          <a:p>
            <a:pPr>
              <a:defRPr lang="en-US"/>
            </a:pPr>
            <a:endParaRPr lang="en-US"/>
          </a:p>
        </c:txPr>
        <c:crossAx val="150641664"/>
        <c:crosses val="autoZero"/>
        <c:crossBetween val="between"/>
      </c:valAx>
    </c:plotArea>
    <c:plotVisOnly val="1"/>
    <c:dispBlanksAs val="gap"/>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100.xml.rels><?xml version="1.0" encoding="UTF-8" standalone="yes"?>
<Relationships xmlns="http://schemas.openxmlformats.org/package/2006/relationships"><Relationship Id="rId1" Type="http://schemas.openxmlformats.org/officeDocument/2006/relationships/drawing" Target="../drawings/drawing151.xml"/></Relationships>
</file>

<file path=xl/chartsheets/_rels/sheet101.xml.rels><?xml version="1.0" encoding="UTF-8" standalone="yes"?>
<Relationships xmlns="http://schemas.openxmlformats.org/package/2006/relationships"><Relationship Id="rId1" Type="http://schemas.openxmlformats.org/officeDocument/2006/relationships/drawing" Target="../drawings/drawing153.xml"/></Relationships>
</file>

<file path=xl/chartsheets/_rels/sheet10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60.bin"/></Relationships>
</file>

<file path=xl/chartsheets/_rels/sheet103.xml.rels><?xml version="1.0" encoding="UTF-8" standalone="yes"?>
<Relationships xmlns="http://schemas.openxmlformats.org/package/2006/relationships"><Relationship Id="rId1" Type="http://schemas.openxmlformats.org/officeDocument/2006/relationships/drawing" Target="../drawings/drawing157.xml"/></Relationships>
</file>

<file path=xl/chartsheets/_rels/sheet104.xml.rels><?xml version="1.0" encoding="UTF-8" standalone="yes"?>
<Relationships xmlns="http://schemas.openxmlformats.org/package/2006/relationships"><Relationship Id="rId1" Type="http://schemas.openxmlformats.org/officeDocument/2006/relationships/drawing" Target="../drawings/drawing159.xml"/></Relationships>
</file>

<file path=xl/chartsheets/_rels/sheet105.xml.rels><?xml version="1.0" encoding="UTF-8" standalone="yes"?>
<Relationships xmlns="http://schemas.openxmlformats.org/package/2006/relationships"><Relationship Id="rId1" Type="http://schemas.openxmlformats.org/officeDocument/2006/relationships/drawing" Target="../drawings/drawing160.xml"/></Relationships>
</file>

<file path=xl/chartsheets/_rels/sheet106.xml.rels><?xml version="1.0" encoding="UTF-8" standalone="yes"?>
<Relationships xmlns="http://schemas.openxmlformats.org/package/2006/relationships"><Relationship Id="rId1" Type="http://schemas.openxmlformats.org/officeDocument/2006/relationships/drawing" Target="../drawings/drawing161.xml"/></Relationships>
</file>

<file path=xl/chartsheets/_rels/sheet107.xml.rels><?xml version="1.0" encoding="UTF-8" standalone="yes"?>
<Relationships xmlns="http://schemas.openxmlformats.org/package/2006/relationships"><Relationship Id="rId1" Type="http://schemas.openxmlformats.org/officeDocument/2006/relationships/drawing" Target="../drawings/drawing162.xml"/></Relationships>
</file>

<file path=xl/chartsheets/_rels/sheet108.xml.rels><?xml version="1.0" encoding="UTF-8" standalone="yes"?>
<Relationships xmlns="http://schemas.openxmlformats.org/package/2006/relationships"><Relationship Id="rId1" Type="http://schemas.openxmlformats.org/officeDocument/2006/relationships/drawing" Target="../drawings/drawing163.xml"/></Relationships>
</file>

<file path=xl/chartsheets/_rels/sheet109.xml.rels><?xml version="1.0" encoding="UTF-8" standalone="yes"?>
<Relationships xmlns="http://schemas.openxmlformats.org/package/2006/relationships"><Relationship Id="rId1" Type="http://schemas.openxmlformats.org/officeDocument/2006/relationships/drawing" Target="../drawings/drawing165.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110.xml.rels><?xml version="1.0" encoding="UTF-8" standalone="yes"?>
<Relationships xmlns="http://schemas.openxmlformats.org/package/2006/relationships"><Relationship Id="rId1" Type="http://schemas.openxmlformats.org/officeDocument/2006/relationships/drawing" Target="../drawings/drawing166.xml"/></Relationships>
</file>

<file path=xl/chartsheets/_rels/sheet111.xml.rels><?xml version="1.0" encoding="UTF-8" standalone="yes"?>
<Relationships xmlns="http://schemas.openxmlformats.org/package/2006/relationships"><Relationship Id="rId1" Type="http://schemas.openxmlformats.org/officeDocument/2006/relationships/drawing" Target="../drawings/drawing167.xml"/></Relationships>
</file>

<file path=xl/chartsheets/_rels/sheet112.xml.rels><?xml version="1.0" encoding="UTF-8" standalone="yes"?>
<Relationships xmlns="http://schemas.openxmlformats.org/package/2006/relationships"><Relationship Id="rId1" Type="http://schemas.openxmlformats.org/officeDocument/2006/relationships/drawing" Target="../drawings/drawing168.xml"/></Relationships>
</file>

<file path=xl/chartsheets/_rels/sheet113.xml.rels><?xml version="1.0" encoding="UTF-8" standalone="yes"?>
<Relationships xmlns="http://schemas.openxmlformats.org/package/2006/relationships"><Relationship Id="rId1" Type="http://schemas.openxmlformats.org/officeDocument/2006/relationships/drawing" Target="../drawings/drawing170.xml"/></Relationships>
</file>

<file path=xl/chartsheets/_rels/sheet114.xml.rels><?xml version="1.0" encoding="UTF-8" standalone="yes"?>
<Relationships xmlns="http://schemas.openxmlformats.org/package/2006/relationships"><Relationship Id="rId1" Type="http://schemas.openxmlformats.org/officeDocument/2006/relationships/drawing" Target="../drawings/drawing172.xml"/></Relationships>
</file>

<file path=xl/chartsheets/_rels/sheet115.xml.rels><?xml version="1.0" encoding="UTF-8" standalone="yes"?>
<Relationships xmlns="http://schemas.openxmlformats.org/package/2006/relationships"><Relationship Id="rId1" Type="http://schemas.openxmlformats.org/officeDocument/2006/relationships/drawing" Target="../drawings/drawing174.xml"/></Relationships>
</file>

<file path=xl/chartsheets/_rels/sheet11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62.bin"/></Relationships>
</file>

<file path=xl/chartsheets/_rels/sheet117.xml.rels><?xml version="1.0" encoding="UTF-8" standalone="yes"?>
<Relationships xmlns="http://schemas.openxmlformats.org/package/2006/relationships"><Relationship Id="rId1" Type="http://schemas.openxmlformats.org/officeDocument/2006/relationships/drawing" Target="../drawings/drawing178.xml"/></Relationships>
</file>

<file path=xl/chartsheets/_rels/sheet118.xml.rels><?xml version="1.0" encoding="UTF-8" standalone="yes"?>
<Relationships xmlns="http://schemas.openxmlformats.org/package/2006/relationships"><Relationship Id="rId1" Type="http://schemas.openxmlformats.org/officeDocument/2006/relationships/drawing" Target="../drawings/drawing180.xml"/></Relationships>
</file>

<file path=xl/chartsheets/_rels/sheet119.xml.rels><?xml version="1.0" encoding="UTF-8" standalone="yes"?>
<Relationships xmlns="http://schemas.openxmlformats.org/package/2006/relationships"><Relationship Id="rId1" Type="http://schemas.openxmlformats.org/officeDocument/2006/relationships/drawing" Target="../drawings/drawing18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20.xml.rels><?xml version="1.0" encoding="UTF-8" standalone="yes"?>
<Relationships xmlns="http://schemas.openxmlformats.org/package/2006/relationships"><Relationship Id="rId1" Type="http://schemas.openxmlformats.org/officeDocument/2006/relationships/drawing" Target="../drawings/drawing182.xml"/></Relationships>
</file>

<file path=xl/chartsheets/_rels/sheet121.xml.rels><?xml version="1.0" encoding="UTF-8" standalone="yes"?>
<Relationships xmlns="http://schemas.openxmlformats.org/package/2006/relationships"><Relationship Id="rId1" Type="http://schemas.openxmlformats.org/officeDocument/2006/relationships/drawing" Target="../drawings/drawing183.xml"/></Relationships>
</file>

<file path=xl/chartsheets/_rels/sheet122.xml.rels><?xml version="1.0" encoding="UTF-8" standalone="yes"?>
<Relationships xmlns="http://schemas.openxmlformats.org/package/2006/relationships"><Relationship Id="rId1" Type="http://schemas.openxmlformats.org/officeDocument/2006/relationships/drawing" Target="../drawings/drawing184.xml"/></Relationships>
</file>

<file path=xl/chartsheets/_rels/sheet123.xml.rels><?xml version="1.0" encoding="UTF-8" standalone="yes"?>
<Relationships xmlns="http://schemas.openxmlformats.org/package/2006/relationships"><Relationship Id="rId1" Type="http://schemas.openxmlformats.org/officeDocument/2006/relationships/drawing" Target="../drawings/drawing185.xml"/></Relationships>
</file>

<file path=xl/chartsheets/_rels/sheet124.xml.rels><?xml version="1.0" encoding="UTF-8" standalone="yes"?>
<Relationships xmlns="http://schemas.openxmlformats.org/package/2006/relationships"><Relationship Id="rId1" Type="http://schemas.openxmlformats.org/officeDocument/2006/relationships/drawing" Target="../drawings/drawing186.xml"/></Relationships>
</file>

<file path=xl/chartsheets/_rels/sheet125.xml.rels><?xml version="1.0" encoding="UTF-8" standalone="yes"?>
<Relationships xmlns="http://schemas.openxmlformats.org/package/2006/relationships"><Relationship Id="rId1" Type="http://schemas.openxmlformats.org/officeDocument/2006/relationships/drawing" Target="../drawings/drawing187.xml"/></Relationships>
</file>

<file path=xl/chartsheets/_rels/sheet126.xml.rels><?xml version="1.0" encoding="UTF-8" standalone="yes"?>
<Relationships xmlns="http://schemas.openxmlformats.org/package/2006/relationships"><Relationship Id="rId1" Type="http://schemas.openxmlformats.org/officeDocument/2006/relationships/drawing" Target="../drawings/drawing189.xml"/></Relationships>
</file>

<file path=xl/chartsheets/_rels/sheet127.xml.rels><?xml version="1.0" encoding="UTF-8" standalone="yes"?>
<Relationships xmlns="http://schemas.openxmlformats.org/package/2006/relationships"><Relationship Id="rId1" Type="http://schemas.openxmlformats.org/officeDocument/2006/relationships/drawing" Target="../drawings/drawing191.xml"/></Relationships>
</file>

<file path=xl/chartsheets/_rels/sheet128.xml.rels><?xml version="1.0" encoding="UTF-8" standalone="yes"?>
<Relationships xmlns="http://schemas.openxmlformats.org/package/2006/relationships"><Relationship Id="rId1" Type="http://schemas.openxmlformats.org/officeDocument/2006/relationships/drawing" Target="../drawings/drawing193.xml"/></Relationships>
</file>

<file path=xl/chartsheets/_rels/sheet129.xml.rels><?xml version="1.0" encoding="UTF-8" standalone="yes"?>
<Relationships xmlns="http://schemas.openxmlformats.org/package/2006/relationships"><Relationship Id="rId1" Type="http://schemas.openxmlformats.org/officeDocument/2006/relationships/drawing" Target="../drawings/drawing195.xml"/></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bin"/></Relationships>
</file>

<file path=xl/chartsheets/_rels/sheet130.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64.bin"/></Relationships>
</file>

<file path=xl/chartsheets/_rels/sheet131.xml.rels><?xml version="1.0" encoding="UTF-8" standalone="yes"?>
<Relationships xmlns="http://schemas.openxmlformats.org/package/2006/relationships"><Relationship Id="rId1" Type="http://schemas.openxmlformats.org/officeDocument/2006/relationships/drawing" Target="../drawings/drawing199.xml"/></Relationships>
</file>

<file path=xl/chartsheets/_rels/sheet132.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65.bin"/></Relationships>
</file>

<file path=xl/chartsheets/_rels/sheet133.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67.bin"/></Relationships>
</file>

<file path=xl/chartsheets/_rels/sheet134.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68.bin"/></Relationships>
</file>

<file path=xl/chartsheets/_rels/sheet135.xml.rels><?xml version="1.0" encoding="UTF-8" standalone="yes"?>
<Relationships xmlns="http://schemas.openxmlformats.org/package/2006/relationships"><Relationship Id="rId1" Type="http://schemas.openxmlformats.org/officeDocument/2006/relationships/drawing" Target="../drawings/drawing204.xml"/></Relationships>
</file>

<file path=xl/chartsheets/_rels/sheet136.xml.rels><?xml version="1.0" encoding="UTF-8" standalone="yes"?>
<Relationships xmlns="http://schemas.openxmlformats.org/package/2006/relationships"><Relationship Id="rId1" Type="http://schemas.openxmlformats.org/officeDocument/2006/relationships/drawing" Target="../drawings/drawing205.xml"/></Relationships>
</file>

<file path=xl/chartsheets/_rels/sheet137.xml.rels><?xml version="1.0" encoding="UTF-8" standalone="yes"?>
<Relationships xmlns="http://schemas.openxmlformats.org/package/2006/relationships"><Relationship Id="rId1" Type="http://schemas.openxmlformats.org/officeDocument/2006/relationships/drawing" Target="../drawings/drawing206.xml"/></Relationships>
</file>

<file path=xl/chartsheets/_rels/sheet13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69.bin"/></Relationships>
</file>

<file path=xl/chartsheets/_rels/sheet139.xml.rels><?xml version="1.0" encoding="UTF-8" standalone="yes"?>
<Relationships xmlns="http://schemas.openxmlformats.org/package/2006/relationships"><Relationship Id="rId1" Type="http://schemas.openxmlformats.org/officeDocument/2006/relationships/drawing" Target="../drawings/drawing209.xml"/></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chartsheets/_rels/sheet140.xml.rels><?xml version="1.0" encoding="UTF-8" standalone="yes"?>
<Relationships xmlns="http://schemas.openxmlformats.org/package/2006/relationships"><Relationship Id="rId1" Type="http://schemas.openxmlformats.org/officeDocument/2006/relationships/drawing" Target="../drawings/drawing210.xml"/></Relationships>
</file>

<file path=xl/chartsheets/_rels/sheet141.xml.rels><?xml version="1.0" encoding="UTF-8" standalone="yes"?>
<Relationships xmlns="http://schemas.openxmlformats.org/package/2006/relationships"><Relationship Id="rId1" Type="http://schemas.openxmlformats.org/officeDocument/2006/relationships/drawing" Target="../drawings/drawing211.xml"/></Relationships>
</file>

<file path=xl/chartsheets/_rels/sheet142.xml.rels><?xml version="1.0" encoding="UTF-8" standalone="yes"?>
<Relationships xmlns="http://schemas.openxmlformats.org/package/2006/relationships"><Relationship Id="rId1" Type="http://schemas.openxmlformats.org/officeDocument/2006/relationships/drawing" Target="../drawings/drawing213.xml"/></Relationships>
</file>

<file path=xl/chartsheets/_rels/sheet143.xml.rels><?xml version="1.0" encoding="UTF-8" standalone="yes"?>
<Relationships xmlns="http://schemas.openxmlformats.org/package/2006/relationships"><Relationship Id="rId1" Type="http://schemas.openxmlformats.org/officeDocument/2006/relationships/drawing" Target="../drawings/drawing215.xml"/></Relationships>
</file>

<file path=xl/chartsheets/_rels/sheet144.xml.rels><?xml version="1.0" encoding="UTF-8" standalone="yes"?>
<Relationships xmlns="http://schemas.openxmlformats.org/package/2006/relationships"><Relationship Id="rId1" Type="http://schemas.openxmlformats.org/officeDocument/2006/relationships/drawing" Target="../drawings/drawing217.xml"/></Relationships>
</file>

<file path=xl/chartsheets/_rels/sheet145.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70.bin"/></Relationships>
</file>

<file path=xl/chartsheets/_rels/sheet146.xml.rels><?xml version="1.0" encoding="UTF-8" standalone="yes"?>
<Relationships xmlns="http://schemas.openxmlformats.org/package/2006/relationships"><Relationship Id="rId1" Type="http://schemas.openxmlformats.org/officeDocument/2006/relationships/drawing" Target="../drawings/drawing221.xml"/></Relationships>
</file>

<file path=xl/chartsheets/_rels/sheet147.xml.rels><?xml version="1.0" encoding="UTF-8" standalone="yes"?>
<Relationships xmlns="http://schemas.openxmlformats.org/package/2006/relationships"><Relationship Id="rId1" Type="http://schemas.openxmlformats.org/officeDocument/2006/relationships/drawing" Target="../drawings/drawing223.xml"/></Relationships>
</file>

<file path=xl/chartsheets/_rels/sheet148.xml.rels><?xml version="1.0" encoding="UTF-8" standalone="yes"?>
<Relationships xmlns="http://schemas.openxmlformats.org/package/2006/relationships"><Relationship Id="rId1" Type="http://schemas.openxmlformats.org/officeDocument/2006/relationships/drawing" Target="../drawings/drawing224.xml"/></Relationships>
</file>

<file path=xl/chartsheets/_rels/sheet149.xml.rels><?xml version="1.0" encoding="UTF-8" standalone="yes"?>
<Relationships xmlns="http://schemas.openxmlformats.org/package/2006/relationships"><Relationship Id="rId1" Type="http://schemas.openxmlformats.org/officeDocument/2006/relationships/drawing" Target="../drawings/drawing225.xml"/></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chartsheets/_rels/sheet150.xml.rels><?xml version="1.0" encoding="UTF-8" standalone="yes"?>
<Relationships xmlns="http://schemas.openxmlformats.org/package/2006/relationships"><Relationship Id="rId1" Type="http://schemas.openxmlformats.org/officeDocument/2006/relationships/drawing" Target="../drawings/drawing226.xml"/></Relationships>
</file>

<file path=xl/chartsheets/_rels/sheet151.xml.rels><?xml version="1.0" encoding="UTF-8" standalone="yes"?>
<Relationships xmlns="http://schemas.openxmlformats.org/package/2006/relationships"><Relationship Id="rId1" Type="http://schemas.openxmlformats.org/officeDocument/2006/relationships/drawing" Target="../drawings/drawing227.xml"/></Relationships>
</file>

<file path=xl/chartsheets/_rels/sheet152.xml.rels><?xml version="1.0" encoding="UTF-8" standalone="yes"?>
<Relationships xmlns="http://schemas.openxmlformats.org/package/2006/relationships"><Relationship Id="rId1" Type="http://schemas.openxmlformats.org/officeDocument/2006/relationships/drawing" Target="../drawings/drawing229.xml"/></Relationships>
</file>

<file path=xl/chartsheets/_rels/sheet153.xml.rels><?xml version="1.0" encoding="UTF-8" standalone="yes"?>
<Relationships xmlns="http://schemas.openxmlformats.org/package/2006/relationships"><Relationship Id="rId1" Type="http://schemas.openxmlformats.org/officeDocument/2006/relationships/drawing" Target="../drawings/drawing231.xml"/></Relationships>
</file>

<file path=xl/chartsheets/_rels/sheet154.xml.rels><?xml version="1.0" encoding="UTF-8" standalone="yes"?>
<Relationships xmlns="http://schemas.openxmlformats.org/package/2006/relationships"><Relationship Id="rId1" Type="http://schemas.openxmlformats.org/officeDocument/2006/relationships/drawing" Target="../drawings/drawing232.xml"/></Relationships>
</file>

<file path=xl/chartsheets/_rels/sheet155.xml.rels><?xml version="1.0" encoding="UTF-8" standalone="yes"?>
<Relationships xmlns="http://schemas.openxmlformats.org/package/2006/relationships"><Relationship Id="rId1" Type="http://schemas.openxmlformats.org/officeDocument/2006/relationships/drawing" Target="../drawings/drawing233.xml"/></Relationships>
</file>

<file path=xl/chartsheets/_rels/sheet156.xml.rels><?xml version="1.0" encoding="UTF-8" standalone="yes"?>
<Relationships xmlns="http://schemas.openxmlformats.org/package/2006/relationships"><Relationship Id="rId1" Type="http://schemas.openxmlformats.org/officeDocument/2006/relationships/drawing" Target="../drawings/drawing235.xml"/></Relationships>
</file>

<file path=xl/chartsheets/_rels/sheet157.xml.rels><?xml version="1.0" encoding="UTF-8" standalone="yes"?>
<Relationships xmlns="http://schemas.openxmlformats.org/package/2006/relationships"><Relationship Id="rId1" Type="http://schemas.openxmlformats.org/officeDocument/2006/relationships/drawing" Target="../drawings/drawing237.xml"/></Relationships>
</file>

<file path=xl/chartsheets/_rels/sheet158.xml.rels><?xml version="1.0" encoding="UTF-8" standalone="yes"?>
<Relationships xmlns="http://schemas.openxmlformats.org/package/2006/relationships"><Relationship Id="rId1" Type="http://schemas.openxmlformats.org/officeDocument/2006/relationships/drawing" Target="../drawings/drawing239.xml"/></Relationships>
</file>

<file path=xl/chartsheets/_rels/sheet159.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72.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chartsheets/_rels/sheet160.xml.rels><?xml version="1.0" encoding="UTF-8" standalone="yes"?>
<Relationships xmlns="http://schemas.openxmlformats.org/package/2006/relationships"><Relationship Id="rId1" Type="http://schemas.openxmlformats.org/officeDocument/2006/relationships/drawing" Target="../drawings/drawing243.xml"/></Relationships>
</file>

<file path=xl/chartsheets/_rels/sheet161.xml.rels><?xml version="1.0" encoding="UTF-8" standalone="yes"?>
<Relationships xmlns="http://schemas.openxmlformats.org/package/2006/relationships"><Relationship Id="rId1" Type="http://schemas.openxmlformats.org/officeDocument/2006/relationships/drawing" Target="../drawings/drawing245.xml"/></Relationships>
</file>

<file path=xl/chartsheets/_rels/sheet162.xml.rels><?xml version="1.0" encoding="UTF-8" standalone="yes"?>
<Relationships xmlns="http://schemas.openxmlformats.org/package/2006/relationships"><Relationship Id="rId1" Type="http://schemas.openxmlformats.org/officeDocument/2006/relationships/drawing" Target="../drawings/drawing246.xml"/></Relationships>
</file>

<file path=xl/chartsheets/_rels/sheet163.xml.rels><?xml version="1.0" encoding="UTF-8" standalone="yes"?>
<Relationships xmlns="http://schemas.openxmlformats.org/package/2006/relationships"><Relationship Id="rId1" Type="http://schemas.openxmlformats.org/officeDocument/2006/relationships/drawing" Target="../drawings/drawing247.xml"/></Relationships>
</file>

<file path=xl/chartsheets/_rels/sheet164.xml.rels><?xml version="1.0" encoding="UTF-8" standalone="yes"?>
<Relationships xmlns="http://schemas.openxmlformats.org/package/2006/relationships"><Relationship Id="rId1" Type="http://schemas.openxmlformats.org/officeDocument/2006/relationships/drawing" Target="../drawings/drawing248.xml"/></Relationships>
</file>

<file path=xl/chartsheets/_rels/sheet165.xml.rels><?xml version="1.0" encoding="UTF-8" standalone="yes"?>
<Relationships xmlns="http://schemas.openxmlformats.org/package/2006/relationships"><Relationship Id="rId1" Type="http://schemas.openxmlformats.org/officeDocument/2006/relationships/drawing" Target="../drawings/drawing249.xml"/></Relationships>
</file>

<file path=xl/chartsheets/_rels/sheet166.xml.rels><?xml version="1.0" encoding="UTF-8" standalone="yes"?>
<Relationships xmlns="http://schemas.openxmlformats.org/package/2006/relationships"><Relationship Id="rId1" Type="http://schemas.openxmlformats.org/officeDocument/2006/relationships/drawing" Target="../drawings/drawing251.xml"/></Relationships>
</file>

<file path=xl/chartsheets/_rels/sheet167.xml.rels><?xml version="1.0" encoding="UTF-8" standalone="yes"?>
<Relationships xmlns="http://schemas.openxmlformats.org/package/2006/relationships"><Relationship Id="rId1" Type="http://schemas.openxmlformats.org/officeDocument/2006/relationships/drawing" Target="../drawings/drawing252.xml"/></Relationships>
</file>

<file path=xl/chartsheets/_rels/sheet168.xml.rels><?xml version="1.0" encoding="UTF-8" standalone="yes"?>
<Relationships xmlns="http://schemas.openxmlformats.org/package/2006/relationships"><Relationship Id="rId1" Type="http://schemas.openxmlformats.org/officeDocument/2006/relationships/drawing" Target="../drawings/drawing254.xml"/></Relationships>
</file>

<file path=xl/chartsheets/_rels/sheet169.xml.rels><?xml version="1.0" encoding="UTF-8" standalone="yes"?>
<Relationships xmlns="http://schemas.openxmlformats.org/package/2006/relationships"><Relationship Id="rId1" Type="http://schemas.openxmlformats.org/officeDocument/2006/relationships/drawing" Target="../drawings/drawing255.xml"/></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chartsheets/_rels/sheet170.xml.rels><?xml version="1.0" encoding="UTF-8" standalone="yes"?>
<Relationships xmlns="http://schemas.openxmlformats.org/package/2006/relationships"><Relationship Id="rId1" Type="http://schemas.openxmlformats.org/officeDocument/2006/relationships/drawing" Target="../drawings/drawing256.xml"/></Relationships>
</file>

<file path=xl/chartsheets/_rels/sheet171.xml.rels><?xml version="1.0" encoding="UTF-8" standalone="yes"?>
<Relationships xmlns="http://schemas.openxmlformats.org/package/2006/relationships"><Relationship Id="rId1" Type="http://schemas.openxmlformats.org/officeDocument/2006/relationships/drawing" Target="../drawings/drawing258.xml"/></Relationships>
</file>

<file path=xl/chartsheets/_rels/sheet172.xml.rels><?xml version="1.0" encoding="UTF-8" standalone="yes"?>
<Relationships xmlns="http://schemas.openxmlformats.org/package/2006/relationships"><Relationship Id="rId1" Type="http://schemas.openxmlformats.org/officeDocument/2006/relationships/drawing" Target="../drawings/drawing259.xml"/></Relationships>
</file>

<file path=xl/chartsheets/_rels/sheet173.xml.rels><?xml version="1.0" encoding="UTF-8" standalone="yes"?>
<Relationships xmlns="http://schemas.openxmlformats.org/package/2006/relationships"><Relationship Id="rId1" Type="http://schemas.openxmlformats.org/officeDocument/2006/relationships/drawing" Target="../drawings/drawing260.xml"/></Relationships>
</file>

<file path=xl/chartsheets/_rels/sheet174.xml.rels><?xml version="1.0" encoding="UTF-8" standalone="yes"?>
<Relationships xmlns="http://schemas.openxmlformats.org/package/2006/relationships"><Relationship Id="rId1" Type="http://schemas.openxmlformats.org/officeDocument/2006/relationships/drawing" Target="../drawings/drawing261.xml"/></Relationships>
</file>

<file path=xl/chartsheets/_rels/sheet175.xml.rels><?xml version="1.0" encoding="UTF-8" standalone="yes"?>
<Relationships xmlns="http://schemas.openxmlformats.org/package/2006/relationships"><Relationship Id="rId1" Type="http://schemas.openxmlformats.org/officeDocument/2006/relationships/drawing" Target="../drawings/drawing262.xml"/></Relationships>
</file>

<file path=xl/chartsheets/_rels/sheet176.xml.rels><?xml version="1.0" encoding="UTF-8" standalone="yes"?>
<Relationships xmlns="http://schemas.openxmlformats.org/package/2006/relationships"><Relationship Id="rId1" Type="http://schemas.openxmlformats.org/officeDocument/2006/relationships/drawing" Target="../drawings/drawing263.xml"/></Relationships>
</file>

<file path=xl/chartsheets/_rels/sheet177.xml.rels><?xml version="1.0" encoding="UTF-8" standalone="yes"?>
<Relationships xmlns="http://schemas.openxmlformats.org/package/2006/relationships"><Relationship Id="rId1" Type="http://schemas.openxmlformats.org/officeDocument/2006/relationships/drawing" Target="../drawings/drawing264.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37.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3.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6.bin"/></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50.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54.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58.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60.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62.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64.xml"/></Relationships>
</file>

<file path=xl/chartsheets/_rels/sheet43.xml.rels><?xml version="1.0" encoding="UTF-8" standalone="yes"?>
<Relationships xmlns="http://schemas.openxmlformats.org/package/2006/relationships"><Relationship Id="rId1" Type="http://schemas.openxmlformats.org/officeDocument/2006/relationships/drawing" Target="../drawings/drawing66.xml"/></Relationships>
</file>

<file path=xl/chartsheets/_rels/sheet4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3.bin"/></Relationships>
</file>

<file path=xl/chartsheets/_rels/sheet45.xml.rels><?xml version="1.0" encoding="UTF-8" standalone="yes"?>
<Relationships xmlns="http://schemas.openxmlformats.org/package/2006/relationships"><Relationship Id="rId1" Type="http://schemas.openxmlformats.org/officeDocument/2006/relationships/drawing" Target="../drawings/drawing70.xml"/></Relationships>
</file>

<file path=xl/chartsheets/_rels/sheet4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4.bin"/></Relationships>
</file>

<file path=xl/chartsheets/_rels/sheet4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chartsheets/_rels/sheet4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7.bin"/></Relationships>
</file>

<file path=xl/chartsheets/_rels/sheet49.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0.xml.rels><?xml version="1.0" encoding="UTF-8" standalone="yes"?>
<Relationships xmlns="http://schemas.openxmlformats.org/package/2006/relationships"><Relationship Id="rId1" Type="http://schemas.openxmlformats.org/officeDocument/2006/relationships/drawing" Target="../drawings/drawing76.xml"/></Relationships>
</file>

<file path=xl/chartsheets/_rels/sheet51.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5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8.bin"/></Relationships>
</file>

<file path=xl/chartsheets/_rels/sheet53.xml.rels><?xml version="1.0" encoding="UTF-8" standalone="yes"?>
<Relationships xmlns="http://schemas.openxmlformats.org/package/2006/relationships"><Relationship Id="rId1" Type="http://schemas.openxmlformats.org/officeDocument/2006/relationships/drawing" Target="../drawings/drawing80.xml"/></Relationships>
</file>

<file path=xl/chartsheets/_rels/sheet54.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55.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56.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57.xml.rels><?xml version="1.0" encoding="UTF-8" standalone="yes"?>
<Relationships xmlns="http://schemas.openxmlformats.org/package/2006/relationships"><Relationship Id="rId1" Type="http://schemas.openxmlformats.org/officeDocument/2006/relationships/drawing" Target="../drawings/drawing87.xml"/></Relationships>
</file>

<file path=xl/chartsheets/_rels/sheet5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9.bin"/></Relationships>
</file>

<file path=xl/chartsheets/_rels/sheet59.xml.rels><?xml version="1.0" encoding="UTF-8" standalone="yes"?>
<Relationships xmlns="http://schemas.openxmlformats.org/package/2006/relationships"><Relationship Id="rId1" Type="http://schemas.openxmlformats.org/officeDocument/2006/relationships/drawing" Target="../drawings/drawing91.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60.xml.rels><?xml version="1.0" encoding="UTF-8" standalone="yes"?>
<Relationships xmlns="http://schemas.openxmlformats.org/package/2006/relationships"><Relationship Id="rId1" Type="http://schemas.openxmlformats.org/officeDocument/2006/relationships/drawing" Target="../drawings/drawing93.xml"/></Relationships>
</file>

<file path=xl/chartsheets/_rels/sheet61.xml.rels><?xml version="1.0" encoding="UTF-8" standalone="yes"?>
<Relationships xmlns="http://schemas.openxmlformats.org/package/2006/relationships"><Relationship Id="rId1" Type="http://schemas.openxmlformats.org/officeDocument/2006/relationships/drawing" Target="../drawings/drawing94.xml"/></Relationships>
</file>

<file path=xl/chartsheets/_rels/sheet62.xml.rels><?xml version="1.0" encoding="UTF-8" standalone="yes"?>
<Relationships xmlns="http://schemas.openxmlformats.org/package/2006/relationships"><Relationship Id="rId1" Type="http://schemas.openxmlformats.org/officeDocument/2006/relationships/drawing" Target="../drawings/drawing95.xml"/></Relationships>
</file>

<file path=xl/chartsheets/_rels/sheet63.xml.rels><?xml version="1.0" encoding="UTF-8" standalone="yes"?>
<Relationships xmlns="http://schemas.openxmlformats.org/package/2006/relationships"><Relationship Id="rId1" Type="http://schemas.openxmlformats.org/officeDocument/2006/relationships/drawing" Target="../drawings/drawing96.xml"/></Relationships>
</file>

<file path=xl/chartsheets/_rels/sheet64.xml.rels><?xml version="1.0" encoding="UTF-8" standalone="yes"?>
<Relationships xmlns="http://schemas.openxmlformats.org/package/2006/relationships"><Relationship Id="rId1" Type="http://schemas.openxmlformats.org/officeDocument/2006/relationships/drawing" Target="../drawings/drawing97.xml"/></Relationships>
</file>

<file path=xl/chartsheets/_rels/sheet65.xml.rels><?xml version="1.0" encoding="UTF-8" standalone="yes"?>
<Relationships xmlns="http://schemas.openxmlformats.org/package/2006/relationships"><Relationship Id="rId1" Type="http://schemas.openxmlformats.org/officeDocument/2006/relationships/drawing" Target="../drawings/drawing99.xml"/></Relationships>
</file>

<file path=xl/chartsheets/_rels/sheet66.xml.rels><?xml version="1.0" encoding="UTF-8" standalone="yes"?>
<Relationships xmlns="http://schemas.openxmlformats.org/package/2006/relationships"><Relationship Id="rId1" Type="http://schemas.openxmlformats.org/officeDocument/2006/relationships/drawing" Target="../drawings/drawing100.xml"/></Relationships>
</file>

<file path=xl/chartsheets/_rels/sheet67.xml.rels><?xml version="1.0" encoding="UTF-8" standalone="yes"?>
<Relationships xmlns="http://schemas.openxmlformats.org/package/2006/relationships"><Relationship Id="rId1" Type="http://schemas.openxmlformats.org/officeDocument/2006/relationships/drawing" Target="../drawings/drawing101.xml"/></Relationships>
</file>

<file path=xl/chartsheets/_rels/sheet68.xml.rels><?xml version="1.0" encoding="UTF-8" standalone="yes"?>
<Relationships xmlns="http://schemas.openxmlformats.org/package/2006/relationships"><Relationship Id="rId1" Type="http://schemas.openxmlformats.org/officeDocument/2006/relationships/drawing" Target="../drawings/drawing103.xml"/></Relationships>
</file>

<file path=xl/chartsheets/_rels/sheet69.xml.rels><?xml version="1.0" encoding="UTF-8" standalone="yes"?>
<Relationships xmlns="http://schemas.openxmlformats.org/package/2006/relationships"><Relationship Id="rId1" Type="http://schemas.openxmlformats.org/officeDocument/2006/relationships/drawing" Target="../drawings/drawing105.xml"/></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chartsheets/_rels/sheet70.xml.rels><?xml version="1.0" encoding="UTF-8" standalone="yes"?>
<Relationships xmlns="http://schemas.openxmlformats.org/package/2006/relationships"><Relationship Id="rId1" Type="http://schemas.openxmlformats.org/officeDocument/2006/relationships/drawing" Target="../drawings/drawing107.xml"/></Relationships>
</file>

<file path=xl/chartsheets/_rels/sheet71.xml.rels><?xml version="1.0" encoding="UTF-8" standalone="yes"?>
<Relationships xmlns="http://schemas.openxmlformats.org/package/2006/relationships"><Relationship Id="rId1" Type="http://schemas.openxmlformats.org/officeDocument/2006/relationships/drawing" Target="../drawings/drawing109.xml"/></Relationships>
</file>

<file path=xl/chartsheets/_rels/sheet7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51.bin"/></Relationships>
</file>

<file path=xl/chartsheets/_rels/sheet73.xml.rels><?xml version="1.0" encoding="UTF-8" standalone="yes"?>
<Relationships xmlns="http://schemas.openxmlformats.org/package/2006/relationships"><Relationship Id="rId1" Type="http://schemas.openxmlformats.org/officeDocument/2006/relationships/drawing" Target="../drawings/drawing113.xml"/></Relationships>
</file>

<file path=xl/chartsheets/_rels/sheet74.xml.rels><?xml version="1.0" encoding="UTF-8" standalone="yes"?>
<Relationships xmlns="http://schemas.openxmlformats.org/package/2006/relationships"><Relationship Id="rId1" Type="http://schemas.openxmlformats.org/officeDocument/2006/relationships/drawing" Target="../drawings/drawing115.xml"/></Relationships>
</file>

<file path=xl/chartsheets/_rels/sheet7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2.bin"/></Relationships>
</file>

<file path=xl/chartsheets/_rels/sheet76.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54.bin"/></Relationships>
</file>

<file path=xl/chartsheets/_rels/sheet77.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55.bin"/></Relationships>
</file>

<file path=xl/chartsheets/_rels/sheet78.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56.bin"/></Relationships>
</file>

<file path=xl/chartsheets/_rels/sheet79.xml.rels><?xml version="1.0" encoding="UTF-8" standalone="yes"?>
<Relationships xmlns="http://schemas.openxmlformats.org/package/2006/relationships"><Relationship Id="rId1" Type="http://schemas.openxmlformats.org/officeDocument/2006/relationships/drawing" Target="../drawings/drawing121.xml"/></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chartsheets/_rels/sheet80.xml.rels><?xml version="1.0" encoding="UTF-8" standalone="yes"?>
<Relationships xmlns="http://schemas.openxmlformats.org/package/2006/relationships"><Relationship Id="rId1" Type="http://schemas.openxmlformats.org/officeDocument/2006/relationships/drawing" Target="../drawings/drawing122.xml"/></Relationships>
</file>

<file path=xl/chartsheets/_rels/sheet81.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57.bin"/></Relationships>
</file>

<file path=xl/chartsheets/_rels/sheet82.xml.rels><?xml version="1.0" encoding="UTF-8" standalone="yes"?>
<Relationships xmlns="http://schemas.openxmlformats.org/package/2006/relationships"><Relationship Id="rId1" Type="http://schemas.openxmlformats.org/officeDocument/2006/relationships/drawing" Target="../drawings/drawing125.xml"/></Relationships>
</file>

<file path=xl/chartsheets/_rels/sheet83.xml.rels><?xml version="1.0" encoding="UTF-8" standalone="yes"?>
<Relationships xmlns="http://schemas.openxmlformats.org/package/2006/relationships"><Relationship Id="rId1" Type="http://schemas.openxmlformats.org/officeDocument/2006/relationships/drawing" Target="../drawings/drawing126.xml"/></Relationships>
</file>

<file path=xl/chartsheets/_rels/sheet84.xml.rels><?xml version="1.0" encoding="UTF-8" standalone="yes"?>
<Relationships xmlns="http://schemas.openxmlformats.org/package/2006/relationships"><Relationship Id="rId1" Type="http://schemas.openxmlformats.org/officeDocument/2006/relationships/drawing" Target="../drawings/drawing127.xml"/></Relationships>
</file>

<file path=xl/chartsheets/_rels/sheet85.xml.rels><?xml version="1.0" encoding="UTF-8" standalone="yes"?>
<Relationships xmlns="http://schemas.openxmlformats.org/package/2006/relationships"><Relationship Id="rId1" Type="http://schemas.openxmlformats.org/officeDocument/2006/relationships/drawing" Target="../drawings/drawing129.xml"/></Relationships>
</file>

<file path=xl/chartsheets/_rels/sheet86.xml.rels><?xml version="1.0" encoding="UTF-8" standalone="yes"?>
<Relationships xmlns="http://schemas.openxmlformats.org/package/2006/relationships"><Relationship Id="rId1" Type="http://schemas.openxmlformats.org/officeDocument/2006/relationships/drawing" Target="../drawings/drawing131.xml"/></Relationships>
</file>

<file path=xl/chartsheets/_rels/sheet87.xml.rels><?xml version="1.0" encoding="UTF-8" standalone="yes"?>
<Relationships xmlns="http://schemas.openxmlformats.org/package/2006/relationships"><Relationship Id="rId1" Type="http://schemas.openxmlformats.org/officeDocument/2006/relationships/drawing" Target="../drawings/drawing133.xml"/></Relationships>
</file>

<file path=xl/chartsheets/_rels/sheet8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58.bin"/></Relationships>
</file>

<file path=xl/chartsheets/_rels/sheet89.xml.rels><?xml version="1.0" encoding="UTF-8" standalone="yes"?>
<Relationships xmlns="http://schemas.openxmlformats.org/package/2006/relationships"><Relationship Id="rId1" Type="http://schemas.openxmlformats.org/officeDocument/2006/relationships/drawing" Target="../drawings/drawing137.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90.xml.rels><?xml version="1.0" encoding="UTF-8" standalone="yes"?>
<Relationships xmlns="http://schemas.openxmlformats.org/package/2006/relationships"><Relationship Id="rId1" Type="http://schemas.openxmlformats.org/officeDocument/2006/relationships/drawing" Target="../drawings/drawing139.xml"/></Relationships>
</file>

<file path=xl/chartsheets/_rels/sheet91.xml.rels><?xml version="1.0" encoding="UTF-8" standalone="yes"?>
<Relationships xmlns="http://schemas.openxmlformats.org/package/2006/relationships"><Relationship Id="rId1" Type="http://schemas.openxmlformats.org/officeDocument/2006/relationships/drawing" Target="../drawings/drawing140.xml"/></Relationships>
</file>

<file path=xl/chartsheets/_rels/sheet92.xml.rels><?xml version="1.0" encoding="UTF-8" standalone="yes"?>
<Relationships xmlns="http://schemas.openxmlformats.org/package/2006/relationships"><Relationship Id="rId1" Type="http://schemas.openxmlformats.org/officeDocument/2006/relationships/drawing" Target="../drawings/drawing141.xml"/></Relationships>
</file>

<file path=xl/chartsheets/_rels/sheet93.xml.rels><?xml version="1.0" encoding="UTF-8" standalone="yes"?>
<Relationships xmlns="http://schemas.openxmlformats.org/package/2006/relationships"><Relationship Id="rId1" Type="http://schemas.openxmlformats.org/officeDocument/2006/relationships/drawing" Target="../drawings/drawing142.xml"/></Relationships>
</file>

<file path=xl/chartsheets/_rels/sheet94.xml.rels><?xml version="1.0" encoding="UTF-8" standalone="yes"?>
<Relationships xmlns="http://schemas.openxmlformats.org/package/2006/relationships"><Relationship Id="rId1" Type="http://schemas.openxmlformats.org/officeDocument/2006/relationships/drawing" Target="../drawings/drawing143.xml"/></Relationships>
</file>

<file path=xl/chartsheets/_rels/sheet95.xml.rels><?xml version="1.0" encoding="UTF-8" standalone="yes"?>
<Relationships xmlns="http://schemas.openxmlformats.org/package/2006/relationships"><Relationship Id="rId1" Type="http://schemas.openxmlformats.org/officeDocument/2006/relationships/drawing" Target="../drawings/drawing144.xml"/></Relationships>
</file>

<file path=xl/chartsheets/_rels/sheet96.xml.rels><?xml version="1.0" encoding="UTF-8" standalone="yes"?>
<Relationships xmlns="http://schemas.openxmlformats.org/package/2006/relationships"><Relationship Id="rId1" Type="http://schemas.openxmlformats.org/officeDocument/2006/relationships/drawing" Target="../drawings/drawing145.xml"/></Relationships>
</file>

<file path=xl/chartsheets/_rels/sheet97.xml.rels><?xml version="1.0" encoding="UTF-8" standalone="yes"?>
<Relationships xmlns="http://schemas.openxmlformats.org/package/2006/relationships"><Relationship Id="rId1" Type="http://schemas.openxmlformats.org/officeDocument/2006/relationships/drawing" Target="../drawings/drawing146.xml"/></Relationships>
</file>

<file path=xl/chartsheets/_rels/sheet98.xml.rels><?xml version="1.0" encoding="UTF-8" standalone="yes"?>
<Relationships xmlns="http://schemas.openxmlformats.org/package/2006/relationships"><Relationship Id="rId1" Type="http://schemas.openxmlformats.org/officeDocument/2006/relationships/drawing" Target="../drawings/drawing147.xml"/></Relationships>
</file>

<file path=xl/chartsheets/_rels/sheet99.xml.rels><?xml version="1.0" encoding="UTF-8" standalone="yes"?>
<Relationships xmlns="http://schemas.openxmlformats.org/package/2006/relationships"><Relationship Id="rId1" Type="http://schemas.openxmlformats.org/officeDocument/2006/relationships/drawing" Target="../drawings/drawing149.xml"/></Relationships>
</file>

<file path=xl/chartsheets/sheet1.xml><?xml version="1.0" encoding="utf-8"?>
<chartsheet xmlns="http://schemas.openxmlformats.org/spreadsheetml/2006/main" xmlns:r="http://schemas.openxmlformats.org/officeDocument/2006/relationships">
  <sheetPr>
    <tabColor rgb="FFFF0000"/>
  </sheetPr>
  <sheetViews>
    <sheetView zoomScale="124" workbookViewId="0" zoomToFit="1"/>
  </sheetViews>
  <pageMargins left="0.7" right="0.7" top="0.75" bottom="0.75" header="0.3" footer="0.3"/>
  <pageSetup orientation="landscape" r:id="rId1"/>
  <drawing r:id="rId2"/>
</chartsheet>
</file>

<file path=xl/chartsheets/sheet10.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0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01.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02.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0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04.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05.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0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07.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08.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09.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1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11.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12.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1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1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1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16.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17.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18.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19.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12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21.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22.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23.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2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2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2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27.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28.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2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pageSetup orientation="landscape" r:id="rId1"/>
  <drawing r:id="rId2"/>
</chartsheet>
</file>

<file path=xl/chartsheets/sheet130.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31.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32.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33.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34.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3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3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37.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38.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3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pageSetup orientation="landscape" r:id="rId1"/>
  <drawing r:id="rId2"/>
</chartsheet>
</file>

<file path=xl/chartsheets/sheet14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41.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42.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4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4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45.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4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47.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48.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4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50.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chartsheets/sheet151.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52.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5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5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5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5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57.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58.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59.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6.xml><?xml version="1.0" encoding="utf-8"?>
<chartsheet xmlns="http://schemas.openxmlformats.org/spreadsheetml/2006/main" xmlns:r="http://schemas.openxmlformats.org/officeDocument/2006/relationships">
  <sheetPr>
    <tabColor rgb="FFFF0000"/>
  </sheetPr>
  <sheetViews>
    <sheetView zoomScale="138" workbookViewId="0" zoomToFit="1"/>
  </sheetViews>
  <pageMargins left="0.7" right="0.7" top="0.75" bottom="0.75" header="0.3" footer="0.3"/>
  <pageSetup orientation="landscape" r:id="rId1"/>
  <drawing r:id="rId2"/>
</chartsheet>
</file>

<file path=xl/chartsheets/sheet16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61.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62.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6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6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6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6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67.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68.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6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170.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71.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172.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7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7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7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7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177.xml><?xml version="1.0" encoding="utf-8"?>
<chartsheet xmlns="http://schemas.openxmlformats.org/spreadsheetml/2006/main" xmlns:r="http://schemas.openxmlformats.org/officeDocument/2006/relationships">
  <sheetPr/>
  <sheetViews>
    <sheetView zoomScale="98"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sheetPr/>
  <sheetViews>
    <sheetView zoomScale="138"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rgb="FFFF0000"/>
  </sheetPr>
  <sheetViews>
    <sheetView zoomScale="124" workbookViewId="0" zoomToFit="1"/>
  </sheetViews>
  <pageMargins left="0.7" right="0.7" top="0.75" bottom="0.75" header="0.3" footer="0.3"/>
  <pageSetup orientation="landscape" r:id="rId1"/>
  <drawing r:id="rId2"/>
</chartsheet>
</file>

<file path=xl/chartsheets/sheet20.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sheetPr>
    <tabColor rgb="FFFF0000"/>
  </sheetPr>
  <sheetViews>
    <sheetView zoomScale="124" workbookViewId="0" zoomToFit="1"/>
  </sheetViews>
  <pageMargins left="0.7" right="0.7" top="0.75" bottom="0.7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sheetPr>
    <tabColor rgb="FFFF0000"/>
  </sheetPr>
  <sheetViews>
    <sheetView zoomScale="98" workbookViewId="0" zoomToFit="1"/>
  </sheetViews>
  <pageMargins left="0.7" right="0.7" top="0.75" bottom="0.7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28.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31.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32.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33.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3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3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38.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3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4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41.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42.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4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44.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4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46.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47.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48.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4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138" workbookViewId="0" zoomToFit="1"/>
  </sheetViews>
  <pageMargins left="0.7" right="0.7" top="0.75" bottom="0.75" header="0.3" footer="0.3"/>
  <drawing r:id="rId1"/>
</chartsheet>
</file>

<file path=xl/chartsheets/sheet5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51.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52.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5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5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5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5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57.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58.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5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138" workbookViewId="0" zoomToFit="1"/>
  </sheetViews>
  <pageMargins left="0.7" right="0.7" top="0.75" bottom="0.75" header="0.3" footer="0.3"/>
  <drawing r:id="rId1"/>
</chartsheet>
</file>

<file path=xl/chartsheets/sheet60.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61.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62.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6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64.xml><?xml version="1.0" encoding="utf-8"?>
<chartsheet xmlns="http://schemas.openxmlformats.org/spreadsheetml/2006/main" xmlns:r="http://schemas.openxmlformats.org/officeDocument/2006/relationships">
  <sheetPr>
    <tabColor theme="3" tint="0.79998168889431442"/>
  </sheetPr>
  <sheetViews>
    <sheetView zoomScale="97" workbookViewId="0" zoomToFit="1"/>
  </sheetViews>
  <pageMargins left="0.7" right="0.7" top="0.75" bottom="0.75" header="0.3" footer="0.3"/>
  <drawing r:id="rId1"/>
</chartsheet>
</file>

<file path=xl/chartsheets/sheet65.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6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67.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68.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6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tabColor rgb="FFFF0000"/>
  </sheetPr>
  <sheetViews>
    <sheetView workbookViewId="0"/>
  </sheetViews>
  <pageMargins left="0.75" right="0.75" top="1" bottom="1" header="0.5" footer="0.5"/>
  <pageSetup orientation="landscape" horizontalDpi="300" r:id="rId1"/>
  <headerFooter alignWithMargins="0"/>
  <drawing r:id="rId2"/>
</chartsheet>
</file>

<file path=xl/chartsheets/sheet7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71.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72.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7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7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75.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76.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77.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78.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pageSetup orientation="landscape" r:id="rId1"/>
  <drawing r:id="rId2"/>
</chartsheet>
</file>

<file path=xl/chartsheets/sheet7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tabColor rgb="FFFF0000"/>
  </sheetPr>
  <sheetViews>
    <sheetView zoomScale="138" workbookViewId="0" zoomToFit="1"/>
  </sheetViews>
  <pageMargins left="0.7" right="0.7" top="0.75" bottom="0.75" header="0.3" footer="0.3"/>
  <pageSetup orientation="landscape" r:id="rId1"/>
  <drawing r:id="rId2"/>
</chartsheet>
</file>

<file path=xl/chartsheets/sheet80.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81.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82.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8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8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85.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8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87.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88.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pageSetup orientation="landscape" r:id="rId1"/>
  <drawing r:id="rId2"/>
</chartsheet>
</file>

<file path=xl/chartsheets/sheet8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124" workbookViewId="0" zoomToFit="1"/>
  </sheetViews>
  <pageMargins left="0.7" right="0.7" top="0.75" bottom="0.75" header="0.3" footer="0.3"/>
  <drawing r:id="rId1"/>
</chartsheet>
</file>

<file path=xl/chartsheets/sheet90.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91.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92.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93.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94.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95.xml><?xml version="1.0" encoding="utf-8"?>
<chartsheet xmlns="http://schemas.openxmlformats.org/spreadsheetml/2006/main" xmlns:r="http://schemas.openxmlformats.org/officeDocument/2006/relationships">
  <sheetPr>
    <tabColor rgb="FFFF0000"/>
  </sheetPr>
  <sheetViews>
    <sheetView zoomScale="97" workbookViewId="0" zoomToFit="1"/>
  </sheetViews>
  <pageMargins left="0.7" right="0.7" top="0.75" bottom="0.75" header="0.3" footer="0.3"/>
  <drawing r:id="rId1"/>
</chartsheet>
</file>

<file path=xl/chartsheets/sheet96.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97.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98.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chartsheets/sheet99.xml><?xml version="1.0" encoding="utf-8"?>
<chartsheet xmlns="http://schemas.openxmlformats.org/spreadsheetml/2006/main" xmlns:r="http://schemas.openxmlformats.org/officeDocument/2006/relationships">
  <sheetPr/>
  <sheetViews>
    <sheetView zoomScale="9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162.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81.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82.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83.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84.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85.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86.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87.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89.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91.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93.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95.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97.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99.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1.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202.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203.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204.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205.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206.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208.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209.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210.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211.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213.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215.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217.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219.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1.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223.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224.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225.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226.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227.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229.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231.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232.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233.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235.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237.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239.xml.rels><?xml version="1.0" encoding="UTF-8" standalone="yes"?>
<Relationships xmlns="http://schemas.openxmlformats.org/package/2006/relationships"><Relationship Id="rId1" Type="http://schemas.openxmlformats.org/officeDocument/2006/relationships/chart" Target="../charts/chart15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1.xml.rels><?xml version="1.0" encoding="UTF-8" standalone="yes"?>
<Relationships xmlns="http://schemas.openxmlformats.org/package/2006/relationships"><Relationship Id="rId1" Type="http://schemas.openxmlformats.org/officeDocument/2006/relationships/chart" Target="../charts/chart159.xml"/></Relationships>
</file>

<file path=xl/drawings/_rels/drawing243.xml.rels><?xml version="1.0" encoding="UTF-8" standalone="yes"?>
<Relationships xmlns="http://schemas.openxmlformats.org/package/2006/relationships"><Relationship Id="rId1" Type="http://schemas.openxmlformats.org/officeDocument/2006/relationships/chart" Target="../charts/chart160.xml"/></Relationships>
</file>

<file path=xl/drawings/_rels/drawing245.xml.rels><?xml version="1.0" encoding="UTF-8" standalone="yes"?>
<Relationships xmlns="http://schemas.openxmlformats.org/package/2006/relationships"><Relationship Id="rId1" Type="http://schemas.openxmlformats.org/officeDocument/2006/relationships/chart" Target="../charts/chart161.xml"/></Relationships>
</file>

<file path=xl/drawings/_rels/drawing246.xml.rels><?xml version="1.0" encoding="UTF-8" standalone="yes"?>
<Relationships xmlns="http://schemas.openxmlformats.org/package/2006/relationships"><Relationship Id="rId1" Type="http://schemas.openxmlformats.org/officeDocument/2006/relationships/chart" Target="../charts/chart162.xml"/></Relationships>
</file>

<file path=xl/drawings/_rels/drawing247.xml.rels><?xml version="1.0" encoding="UTF-8" standalone="yes"?>
<Relationships xmlns="http://schemas.openxmlformats.org/package/2006/relationships"><Relationship Id="rId1" Type="http://schemas.openxmlformats.org/officeDocument/2006/relationships/chart" Target="../charts/chart163.xml"/></Relationships>
</file>

<file path=xl/drawings/_rels/drawing248.xml.rels><?xml version="1.0" encoding="UTF-8" standalone="yes"?>
<Relationships xmlns="http://schemas.openxmlformats.org/package/2006/relationships"><Relationship Id="rId1" Type="http://schemas.openxmlformats.org/officeDocument/2006/relationships/chart" Target="../charts/chart164.xml"/></Relationships>
</file>

<file path=xl/drawings/_rels/drawing249.xml.rels><?xml version="1.0" encoding="UTF-8" standalone="yes"?>
<Relationships xmlns="http://schemas.openxmlformats.org/package/2006/relationships"><Relationship Id="rId1" Type="http://schemas.openxmlformats.org/officeDocument/2006/relationships/chart" Target="../charts/chart16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1.xml.rels><?xml version="1.0" encoding="UTF-8" standalone="yes"?>
<Relationships xmlns="http://schemas.openxmlformats.org/package/2006/relationships"><Relationship Id="rId1" Type="http://schemas.openxmlformats.org/officeDocument/2006/relationships/chart" Target="../charts/chart166.xml"/></Relationships>
</file>

<file path=xl/drawings/_rels/drawing252.xml.rels><?xml version="1.0" encoding="UTF-8" standalone="yes"?>
<Relationships xmlns="http://schemas.openxmlformats.org/package/2006/relationships"><Relationship Id="rId1" Type="http://schemas.openxmlformats.org/officeDocument/2006/relationships/chart" Target="../charts/chart167.xml"/></Relationships>
</file>

<file path=xl/drawings/_rels/drawing254.xml.rels><?xml version="1.0" encoding="UTF-8" standalone="yes"?>
<Relationships xmlns="http://schemas.openxmlformats.org/package/2006/relationships"><Relationship Id="rId1" Type="http://schemas.openxmlformats.org/officeDocument/2006/relationships/chart" Target="../charts/chart168.xml"/></Relationships>
</file>

<file path=xl/drawings/_rels/drawing255.xml.rels><?xml version="1.0" encoding="UTF-8" standalone="yes"?>
<Relationships xmlns="http://schemas.openxmlformats.org/package/2006/relationships"><Relationship Id="rId1" Type="http://schemas.openxmlformats.org/officeDocument/2006/relationships/chart" Target="../charts/chart169.xml"/></Relationships>
</file>

<file path=xl/drawings/_rels/drawing256.xml.rels><?xml version="1.0" encoding="UTF-8" standalone="yes"?>
<Relationships xmlns="http://schemas.openxmlformats.org/package/2006/relationships"><Relationship Id="rId1" Type="http://schemas.openxmlformats.org/officeDocument/2006/relationships/chart" Target="../charts/chart170.xml"/></Relationships>
</file>

<file path=xl/drawings/_rels/drawing258.xml.rels><?xml version="1.0" encoding="UTF-8" standalone="yes"?>
<Relationships xmlns="http://schemas.openxmlformats.org/package/2006/relationships"><Relationship Id="rId1" Type="http://schemas.openxmlformats.org/officeDocument/2006/relationships/chart" Target="../charts/chart171.xml"/></Relationships>
</file>

<file path=xl/drawings/_rels/drawing259.xml.rels><?xml version="1.0" encoding="UTF-8" standalone="yes"?>
<Relationships xmlns="http://schemas.openxmlformats.org/package/2006/relationships"><Relationship Id="rId1" Type="http://schemas.openxmlformats.org/officeDocument/2006/relationships/chart" Target="../charts/chart17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0.xml.rels><?xml version="1.0" encoding="UTF-8" standalone="yes"?>
<Relationships xmlns="http://schemas.openxmlformats.org/package/2006/relationships"><Relationship Id="rId1" Type="http://schemas.openxmlformats.org/officeDocument/2006/relationships/chart" Target="../charts/chart173.xml"/></Relationships>
</file>

<file path=xl/drawings/_rels/drawing261.xml.rels><?xml version="1.0" encoding="UTF-8" standalone="yes"?>
<Relationships xmlns="http://schemas.openxmlformats.org/package/2006/relationships"><Relationship Id="rId1" Type="http://schemas.openxmlformats.org/officeDocument/2006/relationships/chart" Target="../charts/chart174.xml"/></Relationships>
</file>

<file path=xl/drawings/_rels/drawing262.xml.rels><?xml version="1.0" encoding="UTF-8" standalone="yes"?>
<Relationships xmlns="http://schemas.openxmlformats.org/package/2006/relationships"><Relationship Id="rId1" Type="http://schemas.openxmlformats.org/officeDocument/2006/relationships/chart" Target="../charts/chart175.xml"/></Relationships>
</file>

<file path=xl/drawings/_rels/drawing263.xml.rels><?xml version="1.0" encoding="UTF-8" standalone="yes"?>
<Relationships xmlns="http://schemas.openxmlformats.org/package/2006/relationships"><Relationship Id="rId1" Type="http://schemas.openxmlformats.org/officeDocument/2006/relationships/chart" Target="../charts/chart176.xml"/></Relationships>
</file>

<file path=xl/drawings/_rels/drawing264.xml.rels><?xml version="1.0" encoding="UTF-8" standalone="yes"?>
<Relationships xmlns="http://schemas.openxmlformats.org/package/2006/relationships"><Relationship Id="rId1" Type="http://schemas.openxmlformats.org/officeDocument/2006/relationships/chart" Target="../charts/chart177.xml"/></Relationships>
</file>

<file path=xl/drawings/_rels/drawing265.xml.rels><?xml version="1.0" encoding="UTF-8" standalone="yes"?>
<Relationships xmlns="http://schemas.openxmlformats.org/package/2006/relationships"><Relationship Id="rId8" Type="http://schemas.openxmlformats.org/officeDocument/2006/relationships/chart" Target="../charts/chart185.xml"/><Relationship Id="rId3" Type="http://schemas.openxmlformats.org/officeDocument/2006/relationships/chart" Target="../charts/chart180.xml"/><Relationship Id="rId7" Type="http://schemas.openxmlformats.org/officeDocument/2006/relationships/chart" Target="../charts/chart184.xml"/><Relationship Id="rId2" Type="http://schemas.openxmlformats.org/officeDocument/2006/relationships/chart" Target="../charts/chart179.xml"/><Relationship Id="rId1" Type="http://schemas.openxmlformats.org/officeDocument/2006/relationships/chart" Target="../charts/chart178.xml"/><Relationship Id="rId6" Type="http://schemas.openxmlformats.org/officeDocument/2006/relationships/chart" Target="../charts/chart183.xml"/><Relationship Id="rId5" Type="http://schemas.openxmlformats.org/officeDocument/2006/relationships/chart" Target="../charts/chart182.xml"/><Relationship Id="rId4" Type="http://schemas.openxmlformats.org/officeDocument/2006/relationships/chart" Target="../charts/chart18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591550" cy="58483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2.xml><?xml version="1.0" encoding="utf-8"?>
<c:userShapes xmlns:c="http://schemas.openxmlformats.org/drawingml/2006/chart">
  <cdr:relSizeAnchor xmlns:cdr="http://schemas.openxmlformats.org/drawingml/2006/chartDrawing">
    <cdr:from>
      <cdr:x>0.82477</cdr:x>
      <cdr:y>0.18863</cdr:y>
    </cdr:from>
    <cdr:to>
      <cdr:x>0.99094</cdr:x>
      <cdr:y>0.23717</cdr:y>
    </cdr:to>
    <cdr:sp macro="" textlink="">
      <cdr:nvSpPr>
        <cdr:cNvPr id="2" name="TextBox 1"/>
        <cdr:cNvSpPr txBox="1"/>
      </cdr:nvSpPr>
      <cdr:spPr>
        <a:xfrm xmlns:a="http://schemas.openxmlformats.org/drawingml/2006/main">
          <a:off x="7156858" y="1188440"/>
          <a:ext cx="1441858" cy="305849"/>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US" sz="1100" b="1" i="1"/>
            <a:t>Revised October</a:t>
          </a:r>
          <a:r>
            <a:rPr lang="en-US" sz="1100" b="1" i="1" baseline="0"/>
            <a:t> </a:t>
          </a:r>
          <a:r>
            <a:rPr lang="en-US" sz="1100" b="1" i="1"/>
            <a:t>2012</a:t>
          </a:r>
        </a:p>
      </cdr:txBody>
    </cdr:sp>
  </cdr:relSizeAnchor>
</c:userShapes>
</file>

<file path=xl/drawings/drawing103.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4.xml><?xml version="1.0" encoding="utf-8"?>
<c:userShapes xmlns:c="http://schemas.openxmlformats.org/drawingml/2006/chart">
  <cdr:relSizeAnchor xmlns:cdr="http://schemas.openxmlformats.org/drawingml/2006/chartDrawing">
    <cdr:from>
      <cdr:x>0.08154</cdr:x>
      <cdr:y>0.22309</cdr:y>
    </cdr:from>
    <cdr:to>
      <cdr:x>0.23896</cdr:x>
      <cdr:y>0.26365</cdr:y>
    </cdr:to>
    <cdr:sp macro="" textlink="">
      <cdr:nvSpPr>
        <cdr:cNvPr id="2" name="TextBox 1"/>
        <cdr:cNvSpPr txBox="1"/>
      </cdr:nvSpPr>
      <cdr:spPr>
        <a:xfrm xmlns:a="http://schemas.openxmlformats.org/drawingml/2006/main">
          <a:off x="707011" y="1404202"/>
          <a:ext cx="1364922" cy="255308"/>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latin typeface="+mn-lt"/>
              <a:ea typeface="+mn-ea"/>
              <a:cs typeface="+mn-cs"/>
            </a:rPr>
            <a:t>2005-06 to 2009-10</a:t>
          </a:r>
          <a:endParaRPr lang="en-CA">
            <a:solidFill>
              <a:schemeClr val="bg1"/>
            </a:solidFill>
          </a:endParaRPr>
        </a:p>
        <a:p xmlns:a="http://schemas.openxmlformats.org/drawingml/2006/main">
          <a:endParaRPr lang="en-CA" sz="1100"/>
        </a:p>
      </cdr:txBody>
    </cdr:sp>
  </cdr:relSizeAnchor>
  <cdr:relSizeAnchor xmlns:cdr="http://schemas.openxmlformats.org/drawingml/2006/chartDrawing">
    <cdr:from>
      <cdr:x>0.08041</cdr:x>
      <cdr:y>0.28081</cdr:y>
    </cdr:from>
    <cdr:to>
      <cdr:x>0.24009</cdr:x>
      <cdr:y>0.32293</cdr:y>
    </cdr:to>
    <cdr:sp macro="" textlink="">
      <cdr:nvSpPr>
        <cdr:cNvPr id="3" name="TextBox 2"/>
        <cdr:cNvSpPr txBox="1"/>
      </cdr:nvSpPr>
      <cdr:spPr>
        <a:xfrm xmlns:a="http://schemas.openxmlformats.org/drawingml/2006/main">
          <a:off x="697191" y="1767527"/>
          <a:ext cx="1384562" cy="265128"/>
        </a:xfrm>
        <a:prstGeom xmlns:a="http://schemas.openxmlformats.org/drawingml/2006/main" prst="rect">
          <a:avLst/>
        </a:prstGeom>
        <a:solidFill xmlns:a="http://schemas.openxmlformats.org/drawingml/2006/main">
          <a:srgbClr val="92D050"/>
        </a:solidFill>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latin typeface="+mn-lt"/>
              <a:ea typeface="+mn-ea"/>
              <a:cs typeface="+mn-cs"/>
            </a:rPr>
            <a:t>2005-06 to 2010-11</a:t>
          </a:r>
          <a:endParaRPr lang="en-CA" sz="1100"/>
        </a:p>
      </cdr:txBody>
    </cdr:sp>
  </cdr:relSizeAnchor>
  <cdr:relSizeAnchor xmlns:cdr="http://schemas.openxmlformats.org/drawingml/2006/chartDrawing">
    <cdr:from>
      <cdr:x>0.07928</cdr:x>
      <cdr:y>0.34009</cdr:y>
    </cdr:from>
    <cdr:to>
      <cdr:x>0.24009</cdr:x>
      <cdr:y>0.38378</cdr:y>
    </cdr:to>
    <cdr:sp macro="" textlink="">
      <cdr:nvSpPr>
        <cdr:cNvPr id="4" name="TextBox 3"/>
        <cdr:cNvSpPr txBox="1"/>
      </cdr:nvSpPr>
      <cdr:spPr>
        <a:xfrm xmlns:a="http://schemas.openxmlformats.org/drawingml/2006/main">
          <a:off x="687371" y="2140671"/>
          <a:ext cx="1394382" cy="274948"/>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latin typeface="+mn-lt"/>
              <a:ea typeface="+mn-ea"/>
              <a:cs typeface="+mn-cs"/>
            </a:rPr>
            <a:t>2005-06 to 2011-12</a:t>
          </a:r>
          <a:endParaRPr lang="en-CA"/>
        </a:p>
        <a:p xmlns:a="http://schemas.openxmlformats.org/drawingml/2006/main">
          <a:endParaRPr lang="en-CA" sz="1100"/>
        </a:p>
      </cdr:txBody>
    </cdr:sp>
  </cdr:relSizeAnchor>
</c:userShapes>
</file>

<file path=xl/drawings/drawing105.xml><?xml version="1.0" encoding="utf-8"?>
<xdr:wsDr xmlns:xdr="http://schemas.openxmlformats.org/drawingml/2006/spreadsheetDrawing" xmlns:a="http://schemas.openxmlformats.org/drawingml/2006/main">
  <xdr:absoluteAnchor>
    <xdr:pos x="12973"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6.xml><?xml version="1.0" encoding="utf-8"?>
<c:userShapes xmlns:c="http://schemas.openxmlformats.org/drawingml/2006/chart">
  <cdr:relSizeAnchor xmlns:cdr="http://schemas.openxmlformats.org/drawingml/2006/chartDrawing">
    <cdr:from>
      <cdr:x>0.08661</cdr:x>
      <cdr:y>0.22053</cdr:y>
    </cdr:from>
    <cdr:to>
      <cdr:x>0.23061</cdr:x>
      <cdr:y>0.25936</cdr:y>
    </cdr:to>
    <cdr:sp macro="" textlink="">
      <cdr:nvSpPr>
        <cdr:cNvPr id="2" name="TextBox 1"/>
        <cdr:cNvSpPr txBox="1"/>
      </cdr:nvSpPr>
      <cdr:spPr>
        <a:xfrm xmlns:a="http://schemas.openxmlformats.org/drawingml/2006/main">
          <a:off x="751513" y="1389427"/>
          <a:ext cx="1249611" cy="244680"/>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US" sz="1000" b="1" baseline="0">
              <a:solidFill>
                <a:schemeClr val="bg1"/>
              </a:solidFill>
            </a:rPr>
            <a:t>2005-06 to 2009-10</a:t>
          </a:r>
        </a:p>
      </cdr:txBody>
    </cdr:sp>
  </cdr:relSizeAnchor>
  <cdr:relSizeAnchor xmlns:cdr="http://schemas.openxmlformats.org/drawingml/2006/chartDrawing">
    <cdr:from>
      <cdr:x>0.08459</cdr:x>
      <cdr:y>0.26214</cdr:y>
    </cdr:from>
    <cdr:to>
      <cdr:x>0.23061</cdr:x>
      <cdr:y>0.30652</cdr:y>
    </cdr:to>
    <cdr:sp macro="" textlink="">
      <cdr:nvSpPr>
        <cdr:cNvPr id="3" name="TextBox 2"/>
        <cdr:cNvSpPr txBox="1"/>
      </cdr:nvSpPr>
      <cdr:spPr>
        <a:xfrm xmlns:a="http://schemas.openxmlformats.org/drawingml/2006/main">
          <a:off x="734039" y="1651583"/>
          <a:ext cx="1267086" cy="279632"/>
        </a:xfrm>
        <a:prstGeom xmlns:a="http://schemas.openxmlformats.org/drawingml/2006/main" prst="rect">
          <a:avLst/>
        </a:prstGeom>
        <a:solidFill xmlns:a="http://schemas.openxmlformats.org/drawingml/2006/main">
          <a:srgbClr val="92D050"/>
        </a:solidFill>
      </cdr:spPr>
      <cdr:txBody>
        <a:bodyPr xmlns:a="http://schemas.openxmlformats.org/drawingml/2006/main" vertOverflow="clip" wrap="square" rtlCol="0"/>
        <a:lstStyle xmlns:a="http://schemas.openxmlformats.org/drawingml/2006/main"/>
        <a:p xmlns:a="http://schemas.openxmlformats.org/drawingml/2006/main">
          <a:r>
            <a:rPr lang="en-US" sz="1000" b="1"/>
            <a:t>2005-06 to 2010-11</a:t>
          </a:r>
        </a:p>
      </cdr:txBody>
    </cdr:sp>
  </cdr:relSizeAnchor>
</c:userShapes>
</file>

<file path=xl/drawings/drawing107.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8.xml><?xml version="1.0" encoding="utf-8"?>
<c:userShapes xmlns:c="http://schemas.openxmlformats.org/drawingml/2006/chart">
  <cdr:relSizeAnchor xmlns:cdr="http://schemas.openxmlformats.org/drawingml/2006/chartDrawing">
    <cdr:from>
      <cdr:x>0.11778</cdr:x>
      <cdr:y>0.61778</cdr:y>
    </cdr:from>
    <cdr:to>
      <cdr:x>0.33069</cdr:x>
      <cdr:y>0.78003</cdr:y>
    </cdr:to>
    <cdr:sp macro="" textlink="">
      <cdr:nvSpPr>
        <cdr:cNvPr id="2" name="TextBox 1"/>
        <cdr:cNvSpPr txBox="1"/>
      </cdr:nvSpPr>
      <cdr:spPr>
        <a:xfrm xmlns:a="http://schemas.openxmlformats.org/drawingml/2006/main">
          <a:off x="1021238" y="3888557"/>
          <a:ext cx="1846082" cy="1021237"/>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i="0">
              <a:latin typeface="+mn-lt"/>
              <a:ea typeface="+mn-ea"/>
              <a:cs typeface="+mn-cs"/>
            </a:rPr>
            <a:t>INCOME</a:t>
          </a:r>
          <a:r>
            <a:rPr lang="en-US" sz="1400" b="1" i="0" baseline="0">
              <a:latin typeface="+mn-lt"/>
              <a:ea typeface="+mn-ea"/>
              <a:cs typeface="+mn-cs"/>
            </a:rPr>
            <a:t> ASSISTANCE FOR THE DISABLED, FIRST NATIONS SA AND AISH</a:t>
          </a:r>
          <a:endParaRPr lang="en-US" sz="1400" b="1" i="0">
            <a:latin typeface="+mn-lt"/>
            <a:ea typeface="+mn-ea"/>
            <a:cs typeface="+mn-cs"/>
          </a:endParaRPr>
        </a:p>
        <a:p xmlns:a="http://schemas.openxmlformats.org/drawingml/2006/main">
          <a:pPr algn="ctr"/>
          <a:endParaRPr lang="en-CA" sz="1400" b="1"/>
        </a:p>
      </cdr:txBody>
    </cdr:sp>
  </cdr:relSizeAnchor>
  <cdr:relSizeAnchor xmlns:cdr="http://schemas.openxmlformats.org/drawingml/2006/chartDrawing">
    <cdr:from>
      <cdr:x>0.43488</cdr:x>
      <cdr:y>0.72855</cdr:y>
    </cdr:from>
    <cdr:to>
      <cdr:x>0.6376</cdr:x>
      <cdr:y>0.86271</cdr:y>
    </cdr:to>
    <cdr:sp macro="" textlink="">
      <cdr:nvSpPr>
        <cdr:cNvPr id="3" name="TextBox 2"/>
        <cdr:cNvSpPr txBox="1"/>
      </cdr:nvSpPr>
      <cdr:spPr>
        <a:xfrm xmlns:a="http://schemas.openxmlformats.org/drawingml/2006/main">
          <a:off x="3770723" y="4585747"/>
          <a:ext cx="1757706" cy="844485"/>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i="0">
              <a:latin typeface="+mn-lt"/>
              <a:ea typeface="+mn-ea"/>
              <a:cs typeface="+mn-cs"/>
            </a:rPr>
            <a:t>TOTAL</a:t>
          </a:r>
          <a:r>
            <a:rPr lang="en-US" sz="1400" b="1" i="0" baseline="0">
              <a:latin typeface="+mn-lt"/>
              <a:ea typeface="+mn-ea"/>
              <a:cs typeface="+mn-cs"/>
            </a:rPr>
            <a:t> INCOME SUPPORT FOR THE DISABLED</a:t>
          </a:r>
          <a:endParaRPr lang="en-US" sz="14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0.72367</cdr:x>
      <cdr:y>0.74883</cdr:y>
    </cdr:from>
    <cdr:to>
      <cdr:x>0.96263</cdr:x>
      <cdr:y>0.93916</cdr:y>
    </cdr:to>
    <cdr:sp macro="" textlink="">
      <cdr:nvSpPr>
        <cdr:cNvPr id="4" name="TextBox 3"/>
        <cdr:cNvSpPr txBox="1"/>
      </cdr:nvSpPr>
      <cdr:spPr>
        <a:xfrm xmlns:a="http://schemas.openxmlformats.org/drawingml/2006/main">
          <a:off x="6274723" y="4713403"/>
          <a:ext cx="2071949" cy="1197989"/>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a:t>
          </a:r>
          <a:r>
            <a:rPr lang="en-US" sz="1400" b="1" baseline="0">
              <a:latin typeface="+mn-lt"/>
              <a:ea typeface="+mn-ea"/>
              <a:cs typeface="+mn-cs"/>
            </a:rPr>
            <a:t> INCOME SUPPORT FOR THE DISABLED EXCL INCOME ASSISTANCE, </a:t>
          </a:r>
          <a:endParaRPr lang="en-US" sz="1400">
            <a:latin typeface="+mn-lt"/>
            <a:ea typeface="+mn-ea"/>
            <a:cs typeface="+mn-cs"/>
          </a:endParaRPr>
        </a:p>
        <a:p xmlns:a="http://schemas.openxmlformats.org/drawingml/2006/main">
          <a:pPr algn="ctr"/>
          <a:r>
            <a:rPr lang="en-US" sz="1400" b="1" baseline="0">
              <a:latin typeface="+mn-lt"/>
              <a:ea typeface="+mn-ea"/>
              <a:cs typeface="+mn-cs"/>
            </a:rPr>
            <a:t>FIRST NATIONS SA AND AISH</a:t>
          </a:r>
          <a:endParaRPr lang="en-US" sz="1400" b="1">
            <a:latin typeface="+mn-lt"/>
            <a:ea typeface="+mn-ea"/>
            <a:cs typeface="+mn-cs"/>
          </a:endParaRPr>
        </a:p>
        <a:p xmlns:a="http://schemas.openxmlformats.org/drawingml/2006/main">
          <a:endParaRPr lang="en-CA" sz="1100"/>
        </a:p>
      </cdr:txBody>
    </cdr:sp>
  </cdr:relSizeAnchor>
</c:userShapes>
</file>

<file path=xl/drawings/drawing10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0.03457</cdr:x>
      <cdr:y>1</cdr:y>
    </cdr:from>
    <cdr:to>
      <cdr:x>0.29418</cdr:x>
      <cdr:y>1</cdr:y>
    </cdr:to>
    <cdr:sp macro="" textlink="">
      <cdr:nvSpPr>
        <cdr:cNvPr id="3" name="TextBox 2"/>
        <cdr:cNvSpPr txBox="1"/>
      </cdr:nvSpPr>
      <cdr:spPr>
        <a:xfrm xmlns:a="http://schemas.openxmlformats.org/drawingml/2006/main">
          <a:off x="296681" y="5838824"/>
          <a:ext cx="2227979" cy="1"/>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US" sz="1000" b="1" i="1"/>
            <a:t>Oct. 2012</a:t>
          </a:r>
        </a:p>
        <a:p xmlns:a="http://schemas.openxmlformats.org/drawingml/2006/main">
          <a:r>
            <a:rPr lang="en-US" sz="1000" i="1">
              <a:latin typeface="+mn-lt"/>
              <a:ea typeface="+mn-ea"/>
              <a:cs typeface="+mn-cs"/>
            </a:rPr>
            <a:t>SA </a:t>
          </a:r>
          <a:r>
            <a:rPr lang="en-US" sz="1000" i="1" baseline="0">
              <a:latin typeface="+mn-lt"/>
              <a:ea typeface="+mn-ea"/>
              <a:cs typeface="+mn-cs"/>
            </a:rPr>
            <a:t> - Disabled component </a:t>
          </a:r>
          <a:r>
            <a:rPr lang="en-US" sz="1000" i="1">
              <a:latin typeface="+mn-lt"/>
              <a:ea typeface="+mn-ea"/>
              <a:cs typeface="+mn-cs"/>
            </a:rPr>
            <a:t>revised</a:t>
          </a:r>
          <a:r>
            <a:rPr lang="en-US" sz="1000" i="1" baseline="0">
              <a:latin typeface="+mn-lt"/>
              <a:ea typeface="+mn-ea"/>
              <a:cs typeface="+mn-cs"/>
            </a:rPr>
            <a:t>  (SA includes First Nations SA and AISH)</a:t>
          </a:r>
          <a:endParaRPr lang="en-US" sz="1000"/>
        </a:p>
        <a:p xmlns:a="http://schemas.openxmlformats.org/drawingml/2006/main">
          <a:r>
            <a:rPr lang="en-US" sz="1000" i="1" baseline="0">
              <a:latin typeface="+mn-lt"/>
              <a:ea typeface="+mn-ea"/>
              <a:cs typeface="+mn-cs"/>
            </a:rPr>
            <a:t>Total revised</a:t>
          </a:r>
          <a:endParaRPr lang="en-US" sz="1000" i="1"/>
        </a:p>
      </cdr:txBody>
    </cdr:sp>
  </cdr:relSizeAnchor>
</c:userShapes>
</file>

<file path=xl/drawings/drawing110.xml><?xml version="1.0" encoding="utf-8"?>
<c:userShapes xmlns:c="http://schemas.openxmlformats.org/drawingml/2006/chart">
  <cdr:relSizeAnchor xmlns:cdr="http://schemas.openxmlformats.org/drawingml/2006/chartDrawing">
    <cdr:from>
      <cdr:x>0.12085</cdr:x>
      <cdr:y>0.49931</cdr:y>
    </cdr:from>
    <cdr:to>
      <cdr:x>0.31823</cdr:x>
      <cdr:y>0.7018</cdr:y>
    </cdr:to>
    <cdr:sp macro="" textlink="">
      <cdr:nvSpPr>
        <cdr:cNvPr id="2" name="TextBox 1"/>
        <cdr:cNvSpPr txBox="1"/>
      </cdr:nvSpPr>
      <cdr:spPr>
        <a:xfrm xmlns:a="http://schemas.openxmlformats.org/drawingml/2006/main">
          <a:off x="1048624" y="3145873"/>
          <a:ext cx="1712752" cy="1275824"/>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i="0">
              <a:latin typeface="+mn-lt"/>
              <a:ea typeface="+mn-ea"/>
              <a:cs typeface="+mn-cs"/>
            </a:rPr>
            <a:t>INCOME</a:t>
          </a:r>
          <a:r>
            <a:rPr lang="en-US" sz="1400" b="1" i="0" baseline="0">
              <a:latin typeface="+mn-lt"/>
              <a:ea typeface="+mn-ea"/>
              <a:cs typeface="+mn-cs"/>
            </a:rPr>
            <a:t> ASSISTANCE FOR THE DISABLED, FIRST NATIONS SA AND AISH</a:t>
          </a:r>
          <a:endParaRPr lang="en-US" sz="1400" b="1" i="0">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0.43706</cdr:x>
      <cdr:y>0.68239</cdr:y>
    </cdr:from>
    <cdr:to>
      <cdr:x>0.61531</cdr:x>
      <cdr:y>0.81415</cdr:y>
    </cdr:to>
    <cdr:sp macro="" textlink="">
      <cdr:nvSpPr>
        <cdr:cNvPr id="3" name="TextBox 2"/>
        <cdr:cNvSpPr txBox="1"/>
      </cdr:nvSpPr>
      <cdr:spPr>
        <a:xfrm xmlns:a="http://schemas.openxmlformats.org/drawingml/2006/main">
          <a:off x="3792523" y="4299359"/>
          <a:ext cx="1546720" cy="830160"/>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i="0">
              <a:latin typeface="+mn-lt"/>
              <a:ea typeface="+mn-ea"/>
              <a:cs typeface="+mn-cs"/>
            </a:rPr>
            <a:t>TOTAL</a:t>
          </a:r>
          <a:r>
            <a:rPr lang="en-US" sz="1400" b="1" i="0" baseline="0">
              <a:latin typeface="+mn-lt"/>
              <a:ea typeface="+mn-ea"/>
              <a:cs typeface="+mn-cs"/>
            </a:rPr>
            <a:t> INCOME SUPPORT FOR THE DISABLED</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0.74018</cdr:x>
      <cdr:y>0.67268</cdr:y>
    </cdr:from>
    <cdr:to>
      <cdr:x>0.94965</cdr:x>
      <cdr:y>0.89875</cdr:y>
    </cdr:to>
    <cdr:sp macro="" textlink="">
      <cdr:nvSpPr>
        <cdr:cNvPr id="4" name="TextBox 3"/>
        <cdr:cNvSpPr txBox="1"/>
      </cdr:nvSpPr>
      <cdr:spPr>
        <a:xfrm xmlns:a="http://schemas.openxmlformats.org/drawingml/2006/main">
          <a:off x="6422810" y="4238208"/>
          <a:ext cx="1817647" cy="1424350"/>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a:t>
          </a:r>
          <a:r>
            <a:rPr lang="en-US" sz="1400" b="1" baseline="0">
              <a:latin typeface="+mn-lt"/>
              <a:ea typeface="+mn-ea"/>
              <a:cs typeface="+mn-cs"/>
            </a:rPr>
            <a:t> INCOME SUPPORT FOR THE DISABLED EXCL INCOME ASSISTANCE, </a:t>
          </a:r>
          <a:endParaRPr lang="en-US" sz="1400">
            <a:latin typeface="+mn-lt"/>
            <a:ea typeface="+mn-ea"/>
            <a:cs typeface="+mn-cs"/>
          </a:endParaRPr>
        </a:p>
        <a:p xmlns:a="http://schemas.openxmlformats.org/drawingml/2006/main">
          <a:pPr algn="ctr"/>
          <a:r>
            <a:rPr lang="en-US" sz="1400" b="1" baseline="0">
              <a:latin typeface="+mn-lt"/>
              <a:ea typeface="+mn-ea"/>
              <a:cs typeface="+mn-cs"/>
            </a:rPr>
            <a:t>FIRST NATIONS SA AND AISH</a:t>
          </a:r>
          <a:endParaRPr lang="en-US" sz="1400" b="1">
            <a:latin typeface="+mn-lt"/>
            <a:ea typeface="+mn-ea"/>
            <a:cs typeface="+mn-cs"/>
          </a:endParaRPr>
        </a:p>
        <a:p xmlns:a="http://schemas.openxmlformats.org/drawingml/2006/main">
          <a:endParaRPr lang="en-US" sz="1100"/>
        </a:p>
      </cdr:txBody>
    </cdr:sp>
  </cdr:relSizeAnchor>
</c:userShapes>
</file>

<file path=xl/drawings/drawing111.xml><?xml version="1.0" encoding="utf-8"?>
<xdr:wsDr xmlns:xdr="http://schemas.openxmlformats.org/drawingml/2006/spreadsheetDrawing" xmlns:a="http://schemas.openxmlformats.org/drawingml/2006/main">
  <xdr:absoluteAnchor>
    <xdr:pos x="0" y="26215"/>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2.xml><?xml version="1.0" encoding="utf-8"?>
<c:userShapes xmlns:c="http://schemas.openxmlformats.org/drawingml/2006/chart">
  <cdr:relSizeAnchor xmlns:cdr="http://schemas.openxmlformats.org/drawingml/2006/chartDrawing">
    <cdr:from>
      <cdr:x>0.1289</cdr:x>
      <cdr:y>0.42756</cdr:y>
    </cdr:from>
    <cdr:to>
      <cdr:x>0.32252</cdr:x>
      <cdr:y>0.71706</cdr:y>
    </cdr:to>
    <cdr:sp macro="" textlink="">
      <cdr:nvSpPr>
        <cdr:cNvPr id="2" name="TextBox 1"/>
        <cdr:cNvSpPr txBox="1"/>
      </cdr:nvSpPr>
      <cdr:spPr>
        <a:xfrm xmlns:a="http://schemas.openxmlformats.org/drawingml/2006/main">
          <a:off x="1118512" y="2693811"/>
          <a:ext cx="1680070" cy="1824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a:latin typeface="+mn-lt"/>
              <a:ea typeface="+mn-ea"/>
              <a:cs typeface="+mn-cs"/>
            </a:rPr>
            <a:t>INCOME</a:t>
          </a:r>
          <a:r>
            <a:rPr lang="en-US" sz="1400" b="1" i="0" baseline="0">
              <a:latin typeface="+mn-lt"/>
              <a:ea typeface="+mn-ea"/>
              <a:cs typeface="+mn-cs"/>
            </a:rPr>
            <a:t> ASSISTANCE FOR PERSONS WITH DISABILITIES,</a:t>
          </a:r>
        </a:p>
        <a:p xmlns:a="http://schemas.openxmlformats.org/drawingml/2006/main">
          <a:pPr algn="ctr"/>
          <a:r>
            <a:rPr lang="en-US" sz="1400" b="1" i="0" baseline="0">
              <a:latin typeface="+mn-lt"/>
              <a:ea typeface="+mn-ea"/>
              <a:cs typeface="+mn-cs"/>
            </a:rPr>
            <a:t> FIRST NATIONS SA AND AISH</a:t>
          </a:r>
          <a:endParaRPr lang="en-US" sz="1400" b="1" i="0">
            <a:latin typeface="+mn-lt"/>
            <a:ea typeface="+mn-ea"/>
            <a:cs typeface="+mn-cs"/>
          </a:endParaRPr>
        </a:p>
      </cdr:txBody>
    </cdr:sp>
  </cdr:relSizeAnchor>
  <cdr:relSizeAnchor xmlns:cdr="http://schemas.openxmlformats.org/drawingml/2006/chartDrawing">
    <cdr:from>
      <cdr:x>0.43102</cdr:x>
      <cdr:y>0.63017</cdr:y>
    </cdr:from>
    <cdr:to>
      <cdr:x>0.63371</cdr:x>
      <cdr:y>0.83356</cdr:y>
    </cdr:to>
    <cdr:sp macro="" textlink="">
      <cdr:nvSpPr>
        <cdr:cNvPr id="3" name="TextBox 2"/>
        <cdr:cNvSpPr txBox="1"/>
      </cdr:nvSpPr>
      <cdr:spPr>
        <a:xfrm xmlns:a="http://schemas.openxmlformats.org/drawingml/2006/main">
          <a:off x="3740117" y="3970357"/>
          <a:ext cx="1758814" cy="12814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i="0">
              <a:latin typeface="+mn-lt"/>
              <a:ea typeface="+mn-ea"/>
              <a:cs typeface="+mn-cs"/>
            </a:rPr>
            <a:t>TOTAL</a:t>
          </a:r>
          <a:r>
            <a:rPr lang="en-US" sz="1400" b="1" i="0" baseline="0">
              <a:latin typeface="+mn-lt"/>
              <a:ea typeface="+mn-ea"/>
              <a:cs typeface="+mn-cs"/>
            </a:rPr>
            <a:t> INCOME SUPPORT FOR PERSONS WITH DISABILITIES</a:t>
          </a:r>
          <a:endParaRPr lang="en-US" sz="1100"/>
        </a:p>
      </cdr:txBody>
    </cdr:sp>
  </cdr:relSizeAnchor>
  <cdr:relSizeAnchor xmlns:cdr="http://schemas.openxmlformats.org/drawingml/2006/chartDrawing">
    <cdr:from>
      <cdr:x>0.74421</cdr:x>
      <cdr:y>0.67381</cdr:y>
    </cdr:from>
    <cdr:to>
      <cdr:x>0.94039</cdr:x>
      <cdr:y>0.89668</cdr:y>
    </cdr:to>
    <cdr:sp macro="" textlink="">
      <cdr:nvSpPr>
        <cdr:cNvPr id="4" name="TextBox 3"/>
        <cdr:cNvSpPr txBox="1"/>
      </cdr:nvSpPr>
      <cdr:spPr>
        <a:xfrm xmlns:a="http://schemas.openxmlformats.org/drawingml/2006/main">
          <a:off x="6457780" y="4245306"/>
          <a:ext cx="1702324" cy="14042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a:t>
          </a:r>
          <a:r>
            <a:rPr lang="en-US" sz="1400" b="1" baseline="0">
              <a:latin typeface="+mn-lt"/>
              <a:ea typeface="+mn-ea"/>
              <a:cs typeface="+mn-cs"/>
            </a:rPr>
            <a:t> INCOME SUPPORT FOR PWD</a:t>
          </a:r>
        </a:p>
        <a:p xmlns:a="http://schemas.openxmlformats.org/drawingml/2006/main">
          <a:pPr algn="ctr"/>
          <a:r>
            <a:rPr lang="en-US" sz="1400" b="1" baseline="0">
              <a:latin typeface="+mn-lt"/>
              <a:ea typeface="+mn-ea"/>
              <a:cs typeface="+mn-cs"/>
            </a:rPr>
            <a:t> EXCL INCOME ASSISTANCE, </a:t>
          </a:r>
          <a:endParaRPr lang="en-US" sz="1400"/>
        </a:p>
        <a:p xmlns:a="http://schemas.openxmlformats.org/drawingml/2006/main">
          <a:pPr algn="ctr"/>
          <a:r>
            <a:rPr lang="en-US" sz="1400" b="1" baseline="0">
              <a:latin typeface="+mn-lt"/>
              <a:ea typeface="+mn-ea"/>
              <a:cs typeface="+mn-cs"/>
            </a:rPr>
            <a:t>FIRST NATIONS SA AND AISH</a:t>
          </a:r>
          <a:endParaRPr lang="en-US" sz="1400" b="1">
            <a:latin typeface="+mn-lt"/>
            <a:ea typeface="+mn-ea"/>
            <a:cs typeface="+mn-cs"/>
          </a:endParaRPr>
        </a:p>
        <a:p xmlns:a="http://schemas.openxmlformats.org/drawingml/2006/main">
          <a:endParaRPr lang="en-US" sz="1400"/>
        </a:p>
      </cdr:txBody>
    </cdr:sp>
  </cdr:relSizeAnchor>
</c:userShapes>
</file>

<file path=xl/drawings/drawing11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4.xml><?xml version="1.0" encoding="utf-8"?>
<c:userShapes xmlns:c="http://schemas.openxmlformats.org/drawingml/2006/chart">
  <cdr:relSizeAnchor xmlns:cdr="http://schemas.openxmlformats.org/drawingml/2006/chartDrawing">
    <cdr:from>
      <cdr:x>0.13394</cdr:x>
      <cdr:y>0.46047</cdr:y>
    </cdr:from>
    <cdr:to>
      <cdr:x>0.32326</cdr:x>
      <cdr:y>0.65326</cdr:y>
    </cdr:to>
    <cdr:sp macro="" textlink="">
      <cdr:nvSpPr>
        <cdr:cNvPr id="2" name="TextBox 1"/>
        <cdr:cNvSpPr txBox="1"/>
      </cdr:nvSpPr>
      <cdr:spPr>
        <a:xfrm xmlns:a="http://schemas.openxmlformats.org/drawingml/2006/main">
          <a:off x="1162225" y="2901193"/>
          <a:ext cx="1642844" cy="121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a:t>INCOME</a:t>
          </a:r>
          <a:r>
            <a:rPr lang="en-US" sz="1400" b="1" i="0" baseline="0"/>
            <a:t> ASSISTANCE FOR THE DISABLED, FIRST NATIONS SA AND AISH</a:t>
          </a:r>
          <a:endParaRPr lang="en-US" sz="1400" b="1" i="0"/>
        </a:p>
      </cdr:txBody>
    </cdr:sp>
  </cdr:relSizeAnchor>
  <cdr:relSizeAnchor xmlns:cdr="http://schemas.openxmlformats.org/drawingml/2006/chartDrawing">
    <cdr:from>
      <cdr:x>0.43907</cdr:x>
      <cdr:y>0.64355</cdr:y>
    </cdr:from>
    <cdr:to>
      <cdr:x>0.63343</cdr:x>
      <cdr:y>0.77947</cdr:y>
    </cdr:to>
    <cdr:sp macro="" textlink="">
      <cdr:nvSpPr>
        <cdr:cNvPr id="3" name="TextBox 2"/>
        <cdr:cNvSpPr txBox="1"/>
      </cdr:nvSpPr>
      <cdr:spPr>
        <a:xfrm xmlns:a="http://schemas.openxmlformats.org/drawingml/2006/main">
          <a:off x="3810000" y="4054679"/>
          <a:ext cx="1686537" cy="8563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i="0">
              <a:latin typeface="+mn-lt"/>
              <a:ea typeface="+mn-ea"/>
              <a:cs typeface="+mn-cs"/>
            </a:rPr>
            <a:t>TOTAL</a:t>
          </a:r>
          <a:r>
            <a:rPr lang="en-US" sz="1400" b="1" i="0" baseline="0">
              <a:latin typeface="+mn-lt"/>
              <a:ea typeface="+mn-ea"/>
              <a:cs typeface="+mn-cs"/>
            </a:rPr>
            <a:t> INCOME SUPPORT FOR THE DISABLED</a:t>
          </a:r>
          <a:endParaRPr lang="en-US" sz="1400" b="1"/>
        </a:p>
        <a:p xmlns:a="http://schemas.openxmlformats.org/drawingml/2006/main">
          <a:endParaRPr lang="en-US" sz="1100"/>
        </a:p>
      </cdr:txBody>
    </cdr:sp>
  </cdr:relSizeAnchor>
  <cdr:relSizeAnchor xmlns:cdr="http://schemas.openxmlformats.org/drawingml/2006/chartDrawing">
    <cdr:from>
      <cdr:x>0.75227</cdr:x>
      <cdr:y>0.63246</cdr:y>
    </cdr:from>
    <cdr:to>
      <cdr:x>0.92346</cdr:x>
      <cdr:y>0.90707</cdr:y>
    </cdr:to>
    <cdr:sp macro="" textlink="">
      <cdr:nvSpPr>
        <cdr:cNvPr id="4" name="TextBox 3"/>
        <cdr:cNvSpPr txBox="1"/>
      </cdr:nvSpPr>
      <cdr:spPr>
        <a:xfrm xmlns:a="http://schemas.openxmlformats.org/drawingml/2006/main">
          <a:off x="6527719" y="3984803"/>
          <a:ext cx="1485478" cy="1730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a:t>
          </a:r>
          <a:r>
            <a:rPr lang="en-US" sz="1400" b="1" baseline="0"/>
            <a:t> INCOME SUPPORT FOR THE DISABLED EXCL INCOME ASSISTANCE, </a:t>
          </a:r>
        </a:p>
        <a:p xmlns:a="http://schemas.openxmlformats.org/drawingml/2006/main">
          <a:pPr algn="ctr"/>
          <a:r>
            <a:rPr lang="en-US" sz="1400" b="1" baseline="0"/>
            <a:t>FIRST NATIONS SA AND AISH</a:t>
          </a:r>
          <a:endParaRPr lang="en-US" sz="1400" b="1"/>
        </a:p>
        <a:p xmlns:a="http://schemas.openxmlformats.org/drawingml/2006/main">
          <a:endParaRPr lang="en-US" sz="1100"/>
        </a:p>
      </cdr:txBody>
    </cdr:sp>
  </cdr:relSizeAnchor>
  <cdr:relSizeAnchor xmlns:cdr="http://schemas.openxmlformats.org/drawingml/2006/chartDrawing">
    <cdr:from>
      <cdr:x>0.79456</cdr:x>
      <cdr:y>0.19279</cdr:y>
    </cdr:from>
    <cdr:to>
      <cdr:x>0.96302</cdr:x>
      <cdr:y>0.23994</cdr:y>
    </cdr:to>
    <cdr:sp macro="" textlink="">
      <cdr:nvSpPr>
        <cdr:cNvPr id="5" name="TextBox 4"/>
        <cdr:cNvSpPr txBox="1"/>
      </cdr:nvSpPr>
      <cdr:spPr>
        <a:xfrm xmlns:a="http://schemas.openxmlformats.org/drawingml/2006/main">
          <a:off x="6894685" y="1214670"/>
          <a:ext cx="1461784" cy="297068"/>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US" sz="1100" b="1" i="1"/>
            <a:t>Revised October 2012</a:t>
          </a:r>
        </a:p>
      </cdr:txBody>
    </cdr:sp>
  </cdr:relSizeAnchor>
</c:userShapes>
</file>

<file path=xl/drawings/drawing11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0.11078</cdr:x>
      <cdr:y>0.55756</cdr:y>
    </cdr:from>
    <cdr:to>
      <cdr:x>0.26385</cdr:x>
      <cdr:y>0.8932</cdr:y>
    </cdr:to>
    <cdr:sp macro="" textlink="">
      <cdr:nvSpPr>
        <cdr:cNvPr id="2" name="TextBox 1"/>
        <cdr:cNvSpPr txBox="1"/>
      </cdr:nvSpPr>
      <cdr:spPr>
        <a:xfrm xmlns:a="http://schemas.openxmlformats.org/drawingml/2006/main">
          <a:off x="961278" y="3512897"/>
          <a:ext cx="1328244" cy="2114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a:t>INCOME ASSISTANCE -</a:t>
          </a:r>
        </a:p>
        <a:p xmlns:a="http://schemas.openxmlformats.org/drawingml/2006/main">
          <a:pPr algn="ctr"/>
          <a:r>
            <a:rPr lang="en-US" sz="1400" b="1" i="0"/>
            <a:t>NOT</a:t>
          </a:r>
          <a:r>
            <a:rPr lang="en-US" sz="1400" b="1" i="0" baseline="0"/>
            <a:t> EXPECTED TO WORK/</a:t>
          </a:r>
        </a:p>
        <a:p xmlns:a="http://schemas.openxmlformats.org/drawingml/2006/main">
          <a:pPr algn="ctr"/>
          <a:r>
            <a:rPr lang="en-US" sz="1400" b="1" i="0" baseline="0"/>
            <a:t>BARRIERS TO FULL EMPLOYMENT &amp; FIRST NATIONS SA</a:t>
          </a:r>
          <a:endParaRPr lang="en-US" sz="1100"/>
        </a:p>
      </cdr:txBody>
    </cdr:sp>
  </cdr:relSizeAnchor>
  <cdr:relSizeAnchor xmlns:cdr="http://schemas.openxmlformats.org/drawingml/2006/chartDrawing">
    <cdr:from>
      <cdr:x>0.32024</cdr:x>
      <cdr:y>0.47989</cdr:y>
    </cdr:from>
    <cdr:to>
      <cdr:x>0.47231</cdr:x>
      <cdr:y>0.73232</cdr:y>
    </cdr:to>
    <cdr:sp macro="" textlink="">
      <cdr:nvSpPr>
        <cdr:cNvPr id="3" name="TextBox 2"/>
        <cdr:cNvSpPr txBox="1"/>
      </cdr:nvSpPr>
      <cdr:spPr>
        <a:xfrm xmlns:a="http://schemas.openxmlformats.org/drawingml/2006/main">
          <a:off x="2778852" y="3023531"/>
          <a:ext cx="1319520" cy="1590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baseline="0"/>
            <a:t>ASSURED</a:t>
          </a:r>
          <a:r>
            <a:rPr lang="en-US" sz="1100" baseline="0"/>
            <a:t> </a:t>
          </a:r>
          <a:r>
            <a:rPr lang="en-US" sz="1400" b="1" i="0" baseline="0"/>
            <a:t>INCOME FOR THE SEVERELY HANDICAPPED</a:t>
          </a:r>
          <a:r>
            <a:rPr lang="en-US" sz="1100" baseline="0"/>
            <a:t> </a:t>
          </a:r>
        </a:p>
        <a:p xmlns:a="http://schemas.openxmlformats.org/drawingml/2006/main">
          <a:pPr algn="ctr"/>
          <a:endParaRPr lang="en-US" sz="1100" b="1" i="0" baseline="0"/>
        </a:p>
        <a:p xmlns:a="http://schemas.openxmlformats.org/drawingml/2006/main">
          <a:pPr algn="ctr"/>
          <a:r>
            <a:rPr lang="en-US" sz="1400" b="1" i="0" baseline="0"/>
            <a:t>AISH</a:t>
          </a:r>
        </a:p>
      </cdr:txBody>
    </cdr:sp>
  </cdr:relSizeAnchor>
  <cdr:relSizeAnchor xmlns:cdr="http://schemas.openxmlformats.org/drawingml/2006/chartDrawing">
    <cdr:from>
      <cdr:x>0.53374</cdr:x>
      <cdr:y>0.67545</cdr:y>
    </cdr:from>
    <cdr:to>
      <cdr:x>0.68077</cdr:x>
      <cdr:y>0.83911</cdr:y>
    </cdr:to>
    <cdr:sp macro="" textlink="">
      <cdr:nvSpPr>
        <cdr:cNvPr id="4" name="TextBox 3"/>
        <cdr:cNvSpPr txBox="1"/>
      </cdr:nvSpPr>
      <cdr:spPr>
        <a:xfrm xmlns:a="http://schemas.openxmlformats.org/drawingml/2006/main">
          <a:off x="4631455" y="4255665"/>
          <a:ext cx="1275833" cy="10311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a:t>TOTAL</a:t>
          </a:r>
          <a:r>
            <a:rPr lang="en-US" sz="1400" b="1" i="0" baseline="0"/>
            <a:t> INCOME SUPPORT FOR THE DISABLED</a:t>
          </a:r>
        </a:p>
        <a:p xmlns:a="http://schemas.openxmlformats.org/drawingml/2006/main">
          <a:endParaRPr lang="en-US" sz="1100"/>
        </a:p>
      </cdr:txBody>
    </cdr:sp>
  </cdr:relSizeAnchor>
  <cdr:relSizeAnchor xmlns:cdr="http://schemas.openxmlformats.org/drawingml/2006/chartDrawing">
    <cdr:from>
      <cdr:x>0.74824</cdr:x>
      <cdr:y>0.68377</cdr:y>
    </cdr:from>
    <cdr:to>
      <cdr:x>0.89023</cdr:x>
      <cdr:y>0.91817</cdr:y>
    </cdr:to>
    <cdr:sp macro="" textlink="">
      <cdr:nvSpPr>
        <cdr:cNvPr id="5" name="TextBox 4"/>
        <cdr:cNvSpPr txBox="1"/>
      </cdr:nvSpPr>
      <cdr:spPr>
        <a:xfrm xmlns:a="http://schemas.openxmlformats.org/drawingml/2006/main">
          <a:off x="6492749" y="4308096"/>
          <a:ext cx="1232099" cy="1476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300" b="1" i="0"/>
            <a:t>TOTAL INC.</a:t>
          </a:r>
          <a:r>
            <a:rPr lang="en-US" sz="1300" b="1" i="0" baseline="0"/>
            <a:t> SUPPORT FOR DISABLED EXCL.  INCOME ASSISTANCE, FN SA &amp; AISH</a:t>
          </a:r>
        </a:p>
      </cdr:txBody>
    </cdr:sp>
  </cdr:relSizeAnchor>
  <cdr:relSizeAnchor xmlns:cdr="http://schemas.openxmlformats.org/drawingml/2006/chartDrawing">
    <cdr:from>
      <cdr:x>0.7291</cdr:x>
      <cdr:y>0.2344</cdr:y>
    </cdr:from>
    <cdr:to>
      <cdr:x>0.83448</cdr:x>
      <cdr:y>0.37953</cdr:y>
    </cdr:to>
    <cdr:sp macro="" textlink="">
      <cdr:nvSpPr>
        <cdr:cNvPr id="6" name="TextBox 5"/>
        <cdr:cNvSpPr txBox="1"/>
      </cdr:nvSpPr>
      <cdr:spPr>
        <a:xfrm xmlns:a="http://schemas.openxmlformats.org/drawingml/2006/main">
          <a:off x="6326697" y="147681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117.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8.xml><?xml version="1.0" encoding="utf-8"?>
<xdr:wsDr xmlns:xdr="http://schemas.openxmlformats.org/drawingml/2006/spreadsheetDrawing" xmlns:a="http://schemas.openxmlformats.org/drawingml/2006/main">
  <xdr:absoluteAnchor>
    <xdr:pos x="19639" y="29458"/>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9.xml><?xml version="1.0" encoding="utf-8"?>
<xdr:wsDr xmlns:xdr="http://schemas.openxmlformats.org/drawingml/2006/spreadsheetDrawing" xmlns:a="http://schemas.openxmlformats.org/drawingml/2006/main">
  <xdr:absoluteAnchor>
    <xdr:pos x="0"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0.xml><?xml version="1.0" encoding="utf-8"?>
<xdr:wsDr xmlns:xdr="http://schemas.openxmlformats.org/drawingml/2006/spreadsheetDrawing" xmlns:a="http://schemas.openxmlformats.org/drawingml/2006/main">
  <xdr:absoluteAnchor>
    <xdr:pos x="19639"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1.xml><?xml version="1.0" encoding="utf-8"?>
<xdr:wsDr xmlns:xdr="http://schemas.openxmlformats.org/drawingml/2006/spreadsheetDrawing" xmlns:a="http://schemas.openxmlformats.org/drawingml/2006/main">
  <xdr:absoluteAnchor>
    <xdr:pos x="26216" y="26215"/>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2.xml><?xml version="1.0" encoding="utf-8"?>
<xdr:wsDr xmlns:xdr="http://schemas.openxmlformats.org/drawingml/2006/spreadsheetDrawing" xmlns:a="http://schemas.openxmlformats.org/drawingml/2006/main">
  <xdr:absoluteAnchor>
    <xdr:pos x="26216"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3.xml><?xml version="1.0" encoding="utf-8"?>
<c:userShapes xmlns:c="http://schemas.openxmlformats.org/drawingml/2006/chart">
  <cdr:relSizeAnchor xmlns:cdr="http://schemas.openxmlformats.org/drawingml/2006/chartDrawing">
    <cdr:from>
      <cdr:x>0.75428</cdr:x>
      <cdr:y>0.82108</cdr:y>
    </cdr:from>
    <cdr:to>
      <cdr:x>0.89527</cdr:x>
      <cdr:y>0.86546</cdr:y>
    </cdr:to>
    <cdr:sp macro="" textlink="">
      <cdr:nvSpPr>
        <cdr:cNvPr id="2" name="TextBox 1"/>
        <cdr:cNvSpPr txBox="1"/>
      </cdr:nvSpPr>
      <cdr:spPr>
        <a:xfrm xmlns:a="http://schemas.openxmlformats.org/drawingml/2006/main">
          <a:off x="6545161" y="5173211"/>
          <a:ext cx="1223394" cy="27963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endParaRPr lang="en-US" sz="1000" b="1" i="1"/>
        </a:p>
      </cdr:txBody>
    </cdr:sp>
  </cdr:relSizeAnchor>
</c:userShapes>
</file>

<file path=xl/drawings/drawing124.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7.xml><?xml version="1.0" encoding="utf-8"?>
<xdr:wsDr xmlns:xdr="http://schemas.openxmlformats.org/drawingml/2006/spreadsheetDrawing" xmlns:a="http://schemas.openxmlformats.org/drawingml/2006/main">
  <xdr:absoluteAnchor>
    <xdr:pos x="0" y="29458"/>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8.xml><?xml version="1.0" encoding="utf-8"?>
<c:userShapes xmlns:c="http://schemas.openxmlformats.org/drawingml/2006/chart">
  <cdr:relSizeAnchor xmlns:cdr="http://schemas.openxmlformats.org/drawingml/2006/chartDrawing">
    <cdr:from>
      <cdr:x>0.08041</cdr:x>
      <cdr:y>0.21841</cdr:y>
    </cdr:from>
    <cdr:to>
      <cdr:x>0.22084</cdr:x>
      <cdr:y>0.26209</cdr:y>
    </cdr:to>
    <cdr:sp macro="" textlink="">
      <cdr:nvSpPr>
        <cdr:cNvPr id="2" name="TextBox 1"/>
        <cdr:cNvSpPr txBox="1"/>
      </cdr:nvSpPr>
      <cdr:spPr>
        <a:xfrm xmlns:a="http://schemas.openxmlformats.org/drawingml/2006/main">
          <a:off x="697191" y="1374744"/>
          <a:ext cx="1217629" cy="274947"/>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CA" sz="1000" b="1">
              <a:solidFill>
                <a:schemeClr val="bg1"/>
              </a:solidFill>
            </a:rPr>
            <a:t>2005-06 to 2009-10</a:t>
          </a:r>
        </a:p>
      </cdr:txBody>
    </cdr:sp>
  </cdr:relSizeAnchor>
  <cdr:relSizeAnchor xmlns:cdr="http://schemas.openxmlformats.org/drawingml/2006/chartDrawing">
    <cdr:from>
      <cdr:x>0.08154</cdr:x>
      <cdr:y>0.27613</cdr:y>
    </cdr:from>
    <cdr:to>
      <cdr:x>0.22197</cdr:x>
      <cdr:y>0.32293</cdr:y>
    </cdr:to>
    <cdr:sp macro="" textlink="">
      <cdr:nvSpPr>
        <cdr:cNvPr id="3" name="TextBox 2"/>
        <cdr:cNvSpPr txBox="1"/>
      </cdr:nvSpPr>
      <cdr:spPr>
        <a:xfrm xmlns:a="http://schemas.openxmlformats.org/drawingml/2006/main">
          <a:off x="707011" y="1738068"/>
          <a:ext cx="1217628" cy="294587"/>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CA" sz="1000" b="1"/>
            <a:t>2005-06 to 2010-11</a:t>
          </a:r>
        </a:p>
      </cdr:txBody>
    </cdr:sp>
  </cdr:relSizeAnchor>
  <cdr:relSizeAnchor xmlns:cdr="http://schemas.openxmlformats.org/drawingml/2006/chartDrawing">
    <cdr:from>
      <cdr:x>0.08381</cdr:x>
      <cdr:y>0.33541</cdr:y>
    </cdr:from>
    <cdr:to>
      <cdr:x>0.22424</cdr:x>
      <cdr:y>0.3791</cdr:y>
    </cdr:to>
    <cdr:sp macro="" textlink="">
      <cdr:nvSpPr>
        <cdr:cNvPr id="4" name="TextBox 3"/>
        <cdr:cNvSpPr txBox="1"/>
      </cdr:nvSpPr>
      <cdr:spPr>
        <a:xfrm xmlns:a="http://schemas.openxmlformats.org/drawingml/2006/main">
          <a:off x="726649" y="2111212"/>
          <a:ext cx="1217629" cy="274949"/>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1000" b="1"/>
            <a:t>2005-06 to 2011-12</a:t>
          </a:r>
        </a:p>
        <a:p xmlns:a="http://schemas.openxmlformats.org/drawingml/2006/main">
          <a:endParaRPr lang="en-CA" sz="1100"/>
        </a:p>
      </cdr:txBody>
    </cdr:sp>
  </cdr:relSizeAnchor>
</c:userShapes>
</file>

<file path=xl/drawings/drawing129.xml><?xml version="1.0" encoding="utf-8"?>
<xdr:wsDr xmlns:xdr="http://schemas.openxmlformats.org/drawingml/2006/spreadsheetDrawing" xmlns:a="http://schemas.openxmlformats.org/drawingml/2006/main">
  <xdr:absoluteAnchor>
    <xdr:pos x="26216" y="-17477"/>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0.xml><?xml version="1.0" encoding="utf-8"?>
<c:userShapes xmlns:c="http://schemas.openxmlformats.org/drawingml/2006/chart">
  <cdr:relSizeAnchor xmlns:cdr="http://schemas.openxmlformats.org/drawingml/2006/chartDrawing">
    <cdr:from>
      <cdr:x>0.10171</cdr:x>
      <cdr:y>0.21082</cdr:y>
    </cdr:from>
    <cdr:to>
      <cdr:x>0.24572</cdr:x>
      <cdr:y>0.24549</cdr:y>
    </cdr:to>
    <cdr:sp macro="" textlink="">
      <cdr:nvSpPr>
        <cdr:cNvPr id="2" name="TextBox 1"/>
        <cdr:cNvSpPr txBox="1"/>
      </cdr:nvSpPr>
      <cdr:spPr>
        <a:xfrm xmlns:a="http://schemas.openxmlformats.org/drawingml/2006/main">
          <a:off x="882592" y="1328258"/>
          <a:ext cx="1249610" cy="218462"/>
        </a:xfrm>
        <a:prstGeom xmlns:a="http://schemas.openxmlformats.org/drawingml/2006/main" prst="rect">
          <a:avLst/>
        </a:prstGeom>
        <a:solidFill xmlns:a="http://schemas.openxmlformats.org/drawingml/2006/main">
          <a:srgbClr val="4F81BD"/>
        </a:solidFill>
      </cdr:spPr>
      <cdr:txBody>
        <a:bodyPr xmlns:a="http://schemas.openxmlformats.org/drawingml/2006/main" vertOverflow="clip" wrap="square" rtlCol="0"/>
        <a:lstStyle xmlns:a="http://schemas.openxmlformats.org/drawingml/2006/main"/>
        <a:p xmlns:a="http://schemas.openxmlformats.org/drawingml/2006/main">
          <a:r>
            <a:rPr lang="en-US" sz="1000" b="1" baseline="0">
              <a:solidFill>
                <a:schemeClr val="bg1"/>
              </a:solidFill>
            </a:rPr>
            <a:t>2005-06 to 2009-10</a:t>
          </a:r>
        </a:p>
      </cdr:txBody>
    </cdr:sp>
  </cdr:relSizeAnchor>
  <cdr:relSizeAnchor xmlns:cdr="http://schemas.openxmlformats.org/drawingml/2006/chartDrawing">
    <cdr:from>
      <cdr:x>0.1007</cdr:x>
      <cdr:y>0.25659</cdr:y>
    </cdr:from>
    <cdr:to>
      <cdr:x>0.24773</cdr:x>
      <cdr:y>0.29542</cdr:y>
    </cdr:to>
    <cdr:sp macro="" textlink="">
      <cdr:nvSpPr>
        <cdr:cNvPr id="3" name="TextBox 2"/>
        <cdr:cNvSpPr txBox="1"/>
      </cdr:nvSpPr>
      <cdr:spPr>
        <a:xfrm xmlns:a="http://schemas.openxmlformats.org/drawingml/2006/main">
          <a:off x="873853" y="1616628"/>
          <a:ext cx="1275825" cy="244679"/>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US" sz="1000" b="1"/>
            <a:t>2005-06 to 2010-11</a:t>
          </a:r>
        </a:p>
      </cdr:txBody>
    </cdr:sp>
  </cdr:relSizeAnchor>
</c:userShapes>
</file>

<file path=xl/drawings/drawing131.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2.xml><?xml version="1.0" encoding="utf-8"?>
<c:userShapes xmlns:c="http://schemas.openxmlformats.org/drawingml/2006/chart">
  <cdr:relSizeAnchor xmlns:cdr="http://schemas.openxmlformats.org/drawingml/2006/chartDrawing">
    <cdr:from>
      <cdr:x>0.08607</cdr:x>
      <cdr:y>0.80967</cdr:y>
    </cdr:from>
    <cdr:to>
      <cdr:x>0.32163</cdr:x>
      <cdr:y>0.91732</cdr:y>
    </cdr:to>
    <cdr:sp macro="" textlink="">
      <cdr:nvSpPr>
        <cdr:cNvPr id="2" name="TextBox 1"/>
        <cdr:cNvSpPr txBox="1"/>
      </cdr:nvSpPr>
      <cdr:spPr>
        <a:xfrm xmlns:a="http://schemas.openxmlformats.org/drawingml/2006/main">
          <a:off x="746289" y="5096351"/>
          <a:ext cx="2042474" cy="677588"/>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250" b="1">
              <a:latin typeface="+mn-lt"/>
              <a:ea typeface="+mn-ea"/>
              <a:cs typeface="+mn-cs"/>
            </a:rPr>
            <a:t>INCOME</a:t>
          </a:r>
          <a:r>
            <a:rPr lang="en-US" sz="1250" b="1" baseline="0">
              <a:latin typeface="+mn-lt"/>
              <a:ea typeface="+mn-ea"/>
              <a:cs typeface="+mn-cs"/>
            </a:rPr>
            <a:t> ASSISTANCE FOR THE DISABLED (IAD) &amp; FIRST NATIONS SA</a:t>
          </a:r>
          <a:endParaRPr lang="en-US" sz="1250" b="1">
            <a:latin typeface="+mn-lt"/>
            <a:ea typeface="+mn-ea"/>
            <a:cs typeface="+mn-cs"/>
          </a:endParaRPr>
        </a:p>
        <a:p xmlns:a="http://schemas.openxmlformats.org/drawingml/2006/main">
          <a:endParaRPr lang="en-CA" sz="1250"/>
        </a:p>
      </cdr:txBody>
    </cdr:sp>
  </cdr:relSizeAnchor>
  <cdr:relSizeAnchor xmlns:cdr="http://schemas.openxmlformats.org/drawingml/2006/chartDrawing">
    <cdr:from>
      <cdr:x>0.42356</cdr:x>
      <cdr:y>0.65835</cdr:y>
    </cdr:from>
    <cdr:to>
      <cdr:x>0.61382</cdr:x>
      <cdr:y>0.77379</cdr:y>
    </cdr:to>
    <cdr:sp macro="" textlink="">
      <cdr:nvSpPr>
        <cdr:cNvPr id="3" name="TextBox 2"/>
        <cdr:cNvSpPr txBox="1"/>
      </cdr:nvSpPr>
      <cdr:spPr>
        <a:xfrm xmlns:a="http://schemas.openxmlformats.org/drawingml/2006/main">
          <a:off x="3672526" y="4143866"/>
          <a:ext cx="1649690" cy="726649"/>
        </a:xfrm>
        <a:prstGeom xmlns:a="http://schemas.openxmlformats.org/drawingml/2006/main" prst="rect">
          <a:avLst/>
        </a:prstGeom>
        <a:solidFill xmlns:a="http://schemas.openxmlformats.org/drawingml/2006/main">
          <a:srgbClr val="EEECE1"/>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250" b="1" i="0" baseline="0">
              <a:latin typeface="+mn-lt"/>
              <a:ea typeface="+mn-ea"/>
              <a:cs typeface="+mn-cs"/>
            </a:rPr>
            <a:t>TOTAL</a:t>
          </a:r>
          <a:r>
            <a:rPr lang="en-US" sz="1250" b="1" i="0">
              <a:latin typeface="+mn-lt"/>
              <a:ea typeface="+mn-ea"/>
              <a:cs typeface="+mn-cs"/>
            </a:rPr>
            <a:t> INCOME SUPPORT FOR THE DISABLED</a:t>
          </a:r>
          <a:endParaRPr lang="en-US" sz="125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0.73046</cdr:x>
      <cdr:y>0.63807</cdr:y>
    </cdr:from>
    <cdr:to>
      <cdr:x>0.92186</cdr:x>
      <cdr:y>0.81279</cdr:y>
    </cdr:to>
    <cdr:sp macro="" textlink="">
      <cdr:nvSpPr>
        <cdr:cNvPr id="4" name="TextBox 3"/>
        <cdr:cNvSpPr txBox="1"/>
      </cdr:nvSpPr>
      <cdr:spPr>
        <a:xfrm xmlns:a="http://schemas.openxmlformats.org/drawingml/2006/main">
          <a:off x="6333634" y="4016211"/>
          <a:ext cx="1659510" cy="1099794"/>
        </a:xfrm>
        <a:prstGeom xmlns:a="http://schemas.openxmlformats.org/drawingml/2006/main" prst="rect">
          <a:avLst/>
        </a:prstGeom>
        <a:solidFill xmlns:a="http://schemas.openxmlformats.org/drawingml/2006/main">
          <a:srgbClr val="EEECE1"/>
        </a:solidFill>
      </cdr:spPr>
      <cdr:txBody>
        <a:bodyPr xmlns:a="http://schemas.openxmlformats.org/drawingml/2006/main" vertOverflow="clip" wrap="square" rtlCol="0"/>
        <a:lstStyle xmlns:a="http://schemas.openxmlformats.org/drawingml/2006/main"/>
        <a:p xmlns:a="http://schemas.openxmlformats.org/drawingml/2006/main">
          <a:pPr algn="ctr"/>
          <a:r>
            <a:rPr lang="en-US" sz="1250" b="1" i="0" baseline="0">
              <a:latin typeface="+mn-lt"/>
              <a:ea typeface="+mn-ea"/>
              <a:cs typeface="+mn-cs"/>
            </a:rPr>
            <a:t>TOTAL INCOME SUPPORT FOR THE DISABLED </a:t>
          </a:r>
          <a:endParaRPr lang="en-US" sz="1250" b="1">
            <a:latin typeface="+mn-lt"/>
            <a:ea typeface="+mn-ea"/>
            <a:cs typeface="+mn-cs"/>
          </a:endParaRPr>
        </a:p>
        <a:p xmlns:a="http://schemas.openxmlformats.org/drawingml/2006/main">
          <a:pPr algn="ctr"/>
          <a:r>
            <a:rPr lang="en-US" sz="1250" b="1" i="0" baseline="0">
              <a:latin typeface="+mn-lt"/>
              <a:ea typeface="+mn-ea"/>
              <a:cs typeface="+mn-cs"/>
            </a:rPr>
            <a:t>EXCL. IAD &amp; FIRST NATIONS SA</a:t>
          </a:r>
          <a:endParaRPr lang="en-US" sz="1250" b="1">
            <a:latin typeface="+mn-lt"/>
            <a:ea typeface="+mn-ea"/>
            <a:cs typeface="+mn-cs"/>
          </a:endParaRPr>
        </a:p>
        <a:p xmlns:a="http://schemas.openxmlformats.org/drawingml/2006/main">
          <a:endParaRPr lang="en-CA" sz="1100"/>
        </a:p>
      </cdr:txBody>
    </cdr:sp>
  </cdr:relSizeAnchor>
</c:userShapes>
</file>

<file path=xl/drawings/drawing133.xml><?xml version="1.0" encoding="utf-8"?>
<xdr:wsDr xmlns:xdr="http://schemas.openxmlformats.org/drawingml/2006/spreadsheetDrawing" xmlns:a="http://schemas.openxmlformats.org/drawingml/2006/main">
  <xdr:absoluteAnchor>
    <xdr:pos x="-26215" y="26215"/>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4.xml><?xml version="1.0" encoding="utf-8"?>
<c:userShapes xmlns:c="http://schemas.openxmlformats.org/drawingml/2006/chart">
  <cdr:relSizeAnchor xmlns:cdr="http://schemas.openxmlformats.org/drawingml/2006/chartDrawing">
    <cdr:from>
      <cdr:x>0.09869</cdr:x>
      <cdr:y>0.77355</cdr:y>
    </cdr:from>
    <cdr:to>
      <cdr:x>0.30514</cdr:x>
      <cdr:y>0.91226</cdr:y>
    </cdr:to>
    <cdr:sp macro="" textlink="">
      <cdr:nvSpPr>
        <cdr:cNvPr id="2" name="TextBox 1"/>
        <cdr:cNvSpPr txBox="1"/>
      </cdr:nvSpPr>
      <cdr:spPr>
        <a:xfrm xmlns:a="http://schemas.openxmlformats.org/drawingml/2006/main">
          <a:off x="856369" y="4873760"/>
          <a:ext cx="1791441" cy="873944"/>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en-US" sz="1250" b="1">
              <a:latin typeface="+mn-lt"/>
              <a:ea typeface="+mn-ea"/>
              <a:cs typeface="+mn-cs"/>
            </a:rPr>
            <a:t>INCOME</a:t>
          </a:r>
          <a:r>
            <a:rPr lang="en-US" sz="1250" b="1" baseline="0">
              <a:latin typeface="+mn-lt"/>
              <a:ea typeface="+mn-ea"/>
              <a:cs typeface="+mn-cs"/>
            </a:rPr>
            <a:t> ASSISTANCE FOR THE DISABLED (IAD) &amp; FIRST NATIONS SA</a:t>
          </a:r>
          <a:endParaRPr lang="en-US" sz="125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0.3857</cdr:x>
      <cdr:y>0.61581</cdr:y>
    </cdr:from>
    <cdr:to>
      <cdr:x>0.57503</cdr:x>
      <cdr:y>0.72677</cdr:y>
    </cdr:to>
    <cdr:sp macro="" textlink="">
      <cdr:nvSpPr>
        <cdr:cNvPr id="3" name="TextBox 2"/>
        <cdr:cNvSpPr txBox="1"/>
      </cdr:nvSpPr>
      <cdr:spPr>
        <a:xfrm xmlns:a="http://schemas.openxmlformats.org/drawingml/2006/main">
          <a:off x="3346856" y="3879909"/>
          <a:ext cx="1642845" cy="699081"/>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250" b="1" i="0" baseline="0">
              <a:latin typeface="+mn-lt"/>
              <a:ea typeface="+mn-ea"/>
              <a:cs typeface="+mn-cs"/>
            </a:rPr>
            <a:t>TOTAL</a:t>
          </a:r>
          <a:r>
            <a:rPr lang="en-US" sz="1250" b="1" i="0">
              <a:latin typeface="+mn-lt"/>
              <a:ea typeface="+mn-ea"/>
              <a:cs typeface="+mn-cs"/>
            </a:rPr>
            <a:t> INCOME SUPPORT FOR THE DISABLED</a:t>
          </a:r>
          <a:endParaRPr lang="en-US" sz="125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0.67472</cdr:x>
      <cdr:y>0.57975</cdr:y>
    </cdr:from>
    <cdr:to>
      <cdr:x>0.85498</cdr:x>
      <cdr:y>0.75312</cdr:y>
    </cdr:to>
    <cdr:sp macro="" textlink="">
      <cdr:nvSpPr>
        <cdr:cNvPr id="4" name="TextBox 3"/>
        <cdr:cNvSpPr txBox="1"/>
      </cdr:nvSpPr>
      <cdr:spPr>
        <a:xfrm xmlns:a="http://schemas.openxmlformats.org/drawingml/2006/main">
          <a:off x="5854816" y="3652707"/>
          <a:ext cx="1564197" cy="1092318"/>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en-US" sz="1250" b="1" i="0" baseline="0">
              <a:latin typeface="+mn-lt"/>
              <a:ea typeface="+mn-ea"/>
              <a:cs typeface="+mn-cs"/>
            </a:rPr>
            <a:t>TOTAL INCOME SUPPORT FOR THE DISABLED </a:t>
          </a:r>
          <a:endParaRPr lang="en-US" sz="1250" b="1">
            <a:latin typeface="+mn-lt"/>
            <a:ea typeface="+mn-ea"/>
            <a:cs typeface="+mn-cs"/>
          </a:endParaRPr>
        </a:p>
        <a:p xmlns:a="http://schemas.openxmlformats.org/drawingml/2006/main">
          <a:pPr algn="ctr"/>
          <a:r>
            <a:rPr lang="en-US" sz="1250" b="1" i="0" baseline="0">
              <a:latin typeface="+mn-lt"/>
              <a:ea typeface="+mn-ea"/>
              <a:cs typeface="+mn-cs"/>
            </a:rPr>
            <a:t>EXCL. IAD &amp; FIRST NATIONS SA</a:t>
          </a:r>
          <a:endParaRPr lang="en-US" sz="1250" b="1">
            <a:latin typeface="+mn-lt"/>
            <a:ea typeface="+mn-ea"/>
            <a:cs typeface="+mn-cs"/>
          </a:endParaRPr>
        </a:p>
        <a:p xmlns:a="http://schemas.openxmlformats.org/drawingml/2006/main">
          <a:endParaRPr lang="en-US" sz="1100"/>
        </a:p>
      </cdr:txBody>
    </cdr:sp>
  </cdr:relSizeAnchor>
</c:userShapes>
</file>

<file path=xl/drawings/drawing13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0.14804</cdr:x>
      <cdr:y>0.74757</cdr:y>
    </cdr:from>
    <cdr:to>
      <cdr:x>0.33031</cdr:x>
      <cdr:y>0.98058</cdr:y>
    </cdr:to>
    <cdr:sp macro="" textlink="">
      <cdr:nvSpPr>
        <cdr:cNvPr id="2" name="TextBox 1"/>
        <cdr:cNvSpPr txBox="1"/>
      </cdr:nvSpPr>
      <cdr:spPr>
        <a:xfrm xmlns:a="http://schemas.openxmlformats.org/drawingml/2006/main">
          <a:off x="1284564" y="4710069"/>
          <a:ext cx="1581675" cy="14680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0.43907</cdr:x>
      <cdr:y>0.56887</cdr:y>
    </cdr:from>
    <cdr:to>
      <cdr:x>0.62336</cdr:x>
      <cdr:y>0.80028</cdr:y>
    </cdr:to>
    <cdr:sp macro="" textlink="">
      <cdr:nvSpPr>
        <cdr:cNvPr id="3" name="TextBox 2"/>
        <cdr:cNvSpPr txBox="1"/>
      </cdr:nvSpPr>
      <cdr:spPr>
        <a:xfrm xmlns:a="http://schemas.openxmlformats.org/drawingml/2006/main">
          <a:off x="3809969" y="3584149"/>
          <a:ext cx="1599151" cy="1458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i="0" baseline="0">
              <a:latin typeface="+mn-lt"/>
              <a:ea typeface="+mn-ea"/>
              <a:cs typeface="+mn-cs"/>
            </a:rPr>
            <a:t>TOTAL</a:t>
          </a:r>
          <a:r>
            <a:rPr lang="en-US" sz="1400" b="1" i="0">
              <a:latin typeface="+mn-lt"/>
              <a:ea typeface="+mn-ea"/>
              <a:cs typeface="+mn-cs"/>
            </a:rPr>
            <a:t> INCOME SUPPORT FOR PERSONS WITH DISABILITIES</a:t>
          </a:r>
          <a:endParaRPr lang="en-US" sz="1400"/>
        </a:p>
      </cdr:txBody>
    </cdr:sp>
  </cdr:relSizeAnchor>
  <cdr:relSizeAnchor xmlns:cdr="http://schemas.openxmlformats.org/drawingml/2006/chartDrawing">
    <cdr:from>
      <cdr:x>0.75126</cdr:x>
      <cdr:y>0.47224</cdr:y>
    </cdr:from>
    <cdr:to>
      <cdr:x>0.92548</cdr:x>
      <cdr:y>0.84327</cdr:y>
    </cdr:to>
    <cdr:sp macro="" textlink="">
      <cdr:nvSpPr>
        <cdr:cNvPr id="4" name="TextBox 3"/>
        <cdr:cNvSpPr txBox="1"/>
      </cdr:nvSpPr>
      <cdr:spPr>
        <a:xfrm xmlns:a="http://schemas.openxmlformats.org/drawingml/2006/main">
          <a:off x="6518955" y="2975335"/>
          <a:ext cx="1511770" cy="23376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baseline="0">
              <a:latin typeface="+mn-lt"/>
              <a:ea typeface="+mn-ea"/>
              <a:cs typeface="+mn-cs"/>
            </a:rPr>
            <a:t>TOTAL INCOME SUPPORT FOR PERSONS WITH DISABILITIES</a:t>
          </a:r>
          <a:endParaRPr lang="en-US" sz="1400"/>
        </a:p>
        <a:p xmlns:a="http://schemas.openxmlformats.org/drawingml/2006/main">
          <a:pPr algn="ctr"/>
          <a:r>
            <a:rPr lang="en-US" sz="1400" b="1" i="0" baseline="0">
              <a:latin typeface="+mn-lt"/>
              <a:ea typeface="+mn-ea"/>
              <a:cs typeface="+mn-cs"/>
            </a:rPr>
            <a:t>EXCL. IAD &amp; FIRST NATIONS SA</a:t>
          </a:r>
          <a:endParaRPr lang="en-US" sz="1400"/>
        </a:p>
        <a:p xmlns:a="http://schemas.openxmlformats.org/drawingml/2006/main">
          <a:endParaRPr lang="en-US" sz="1100"/>
        </a:p>
      </cdr:txBody>
    </cdr:sp>
  </cdr:relSizeAnchor>
  <cdr:relSizeAnchor xmlns:cdr="http://schemas.openxmlformats.org/drawingml/2006/chartDrawing">
    <cdr:from>
      <cdr:x>0.12108</cdr:x>
      <cdr:y>0.79486</cdr:y>
    </cdr:from>
    <cdr:to>
      <cdr:x>0.31686</cdr:x>
      <cdr:y>0.95695</cdr:y>
    </cdr:to>
    <cdr:sp macro="" textlink="">
      <cdr:nvSpPr>
        <cdr:cNvPr id="5" name="TextBox 4"/>
        <cdr:cNvSpPr txBox="1"/>
      </cdr:nvSpPr>
      <cdr:spPr>
        <a:xfrm xmlns:a="http://schemas.openxmlformats.org/drawingml/2006/main">
          <a:off x="1050697" y="5007989"/>
          <a:ext cx="1698788" cy="10212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INCOME</a:t>
          </a:r>
          <a:r>
            <a:rPr lang="en-US" sz="1400" b="1" baseline="0">
              <a:latin typeface="+mn-lt"/>
              <a:ea typeface="+mn-ea"/>
              <a:cs typeface="+mn-cs"/>
            </a:rPr>
            <a:t> ASSISTANCE FOR PWD &amp; FIRST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0.1279</cdr:x>
      <cdr:y>0.74341</cdr:y>
    </cdr:from>
    <cdr:to>
      <cdr:x>0.30211</cdr:x>
      <cdr:y>0.90707</cdr:y>
    </cdr:to>
    <cdr:sp macro="" textlink="">
      <cdr:nvSpPr>
        <cdr:cNvPr id="6" name="TextBox 5"/>
        <cdr:cNvSpPr txBox="1"/>
      </cdr:nvSpPr>
      <cdr:spPr>
        <a:xfrm xmlns:a="http://schemas.openxmlformats.org/drawingml/2006/main">
          <a:off x="1109794" y="4683853"/>
          <a:ext cx="1511766" cy="10311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3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8.xml><?xml version="1.0" encoding="utf-8"?>
<c:userShapes xmlns:c="http://schemas.openxmlformats.org/drawingml/2006/chart">
  <cdr:relSizeAnchor xmlns:cdr="http://schemas.openxmlformats.org/drawingml/2006/chartDrawing">
    <cdr:from>
      <cdr:x>0.12387</cdr:x>
      <cdr:y>0.71151</cdr:y>
    </cdr:from>
    <cdr:to>
      <cdr:x>0.32226</cdr:x>
      <cdr:y>0.93759</cdr:y>
    </cdr:to>
    <cdr:sp macro="" textlink="">
      <cdr:nvSpPr>
        <cdr:cNvPr id="2" name="TextBox 1"/>
        <cdr:cNvSpPr txBox="1"/>
      </cdr:nvSpPr>
      <cdr:spPr>
        <a:xfrm xmlns:a="http://schemas.openxmlformats.org/drawingml/2006/main">
          <a:off x="1074865" y="4482867"/>
          <a:ext cx="1721502" cy="14244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INCOME</a:t>
          </a:r>
          <a:r>
            <a:rPr lang="en-US" sz="1400" b="1" baseline="0"/>
            <a:t> ASSISTANCE FOR THE DISABLED</a:t>
          </a:r>
        </a:p>
        <a:p xmlns:a="http://schemas.openxmlformats.org/drawingml/2006/main">
          <a:pPr algn="ctr"/>
          <a:r>
            <a:rPr lang="en-US" sz="1400" b="1" baseline="0"/>
            <a:t>(IAD) &amp; FIRST NATIONS SA</a:t>
          </a:r>
          <a:endParaRPr lang="en-US" sz="1400" b="1"/>
        </a:p>
      </cdr:txBody>
    </cdr:sp>
  </cdr:relSizeAnchor>
  <cdr:relSizeAnchor xmlns:cdr="http://schemas.openxmlformats.org/drawingml/2006/chartDrawing">
    <cdr:from>
      <cdr:x>0.44008</cdr:x>
      <cdr:y>0.5377</cdr:y>
    </cdr:from>
    <cdr:to>
      <cdr:x>0.62941</cdr:x>
      <cdr:y>0.68932</cdr:y>
    </cdr:to>
    <cdr:sp macro="" textlink="">
      <cdr:nvSpPr>
        <cdr:cNvPr id="3" name="TextBox 2"/>
        <cdr:cNvSpPr txBox="1"/>
      </cdr:nvSpPr>
      <cdr:spPr>
        <a:xfrm xmlns:a="http://schemas.openxmlformats.org/drawingml/2006/main">
          <a:off x="3818733" y="3387758"/>
          <a:ext cx="1642885" cy="955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baseline="0"/>
            <a:t>TOTAL</a:t>
          </a:r>
          <a:r>
            <a:rPr lang="en-US" sz="1400" b="1" i="0"/>
            <a:t> INCOME SUPPORT FOR THE DISABLED</a:t>
          </a:r>
        </a:p>
      </cdr:txBody>
    </cdr:sp>
  </cdr:relSizeAnchor>
  <cdr:relSizeAnchor xmlns:cdr="http://schemas.openxmlformats.org/drawingml/2006/chartDrawing">
    <cdr:from>
      <cdr:x>0.75025</cdr:x>
      <cdr:y>0.47295</cdr:y>
    </cdr:from>
    <cdr:to>
      <cdr:x>0.93152</cdr:x>
      <cdr:y>0.67406</cdr:y>
    </cdr:to>
    <cdr:sp macro="" textlink="">
      <cdr:nvSpPr>
        <cdr:cNvPr id="4" name="TextBox 3"/>
        <cdr:cNvSpPr txBox="1"/>
      </cdr:nvSpPr>
      <cdr:spPr>
        <a:xfrm xmlns:a="http://schemas.openxmlformats.org/drawingml/2006/main">
          <a:off x="6510191" y="2979813"/>
          <a:ext cx="1572945" cy="1267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baseline="0"/>
            <a:t>TOTAL INCOME SUPPORT FOR THE DISABLED </a:t>
          </a:r>
        </a:p>
        <a:p xmlns:a="http://schemas.openxmlformats.org/drawingml/2006/main">
          <a:pPr algn="ctr"/>
          <a:r>
            <a:rPr lang="en-US" sz="1400" b="1" i="0" baseline="0"/>
            <a:t>EXCL. IAD &amp; FIRST NATIONS SA</a:t>
          </a:r>
        </a:p>
      </cdr:txBody>
    </cdr:sp>
  </cdr:relSizeAnchor>
</c:userShapes>
</file>

<file path=xl/drawings/drawing139.xml><?xml version="1.0" encoding="utf-8"?>
<xdr:wsDr xmlns:xdr="http://schemas.openxmlformats.org/drawingml/2006/spreadsheetDrawing" xmlns:a="http://schemas.openxmlformats.org/drawingml/2006/main">
  <xdr:absoluteAnchor>
    <xdr:pos x="19639"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0.xml><?xml version="1.0" encoding="utf-8"?>
<xdr:wsDr xmlns:xdr="http://schemas.openxmlformats.org/drawingml/2006/spreadsheetDrawing" xmlns:a="http://schemas.openxmlformats.org/drawingml/2006/main">
  <xdr:absoluteAnchor>
    <xdr:pos x="19639" y="29458"/>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1.xml><?xml version="1.0" encoding="utf-8"?>
<xdr:wsDr xmlns:xdr="http://schemas.openxmlformats.org/drawingml/2006/spreadsheetDrawing" xmlns:a="http://schemas.openxmlformats.org/drawingml/2006/main">
  <xdr:absoluteAnchor>
    <xdr:pos x="19639" y="981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2.xml><?xml version="1.0" encoding="utf-8"?>
<xdr:wsDr xmlns:xdr="http://schemas.openxmlformats.org/drawingml/2006/spreadsheetDrawing" xmlns:a="http://schemas.openxmlformats.org/drawingml/2006/main">
  <xdr:absoluteAnchor>
    <xdr:pos x="26216"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3.xml><?xml version="1.0" encoding="utf-8"?>
<xdr:wsDr xmlns:xdr="http://schemas.openxmlformats.org/drawingml/2006/spreadsheetDrawing" xmlns:a="http://schemas.openxmlformats.org/drawingml/2006/main">
  <xdr:absoluteAnchor>
    <xdr:pos x="26216" y="1747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4.xml><?xml version="1.0" encoding="utf-8"?>
<xdr:wsDr xmlns:xdr="http://schemas.openxmlformats.org/drawingml/2006/spreadsheetDrawing" xmlns:a="http://schemas.openxmlformats.org/drawingml/2006/main">
  <xdr:absoluteAnchor>
    <xdr:pos x="0" y="0"/>
    <xdr:ext cx="8662737"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6.xml><?xml version="1.0" encoding="utf-8"?>
<xdr:wsDr xmlns:xdr="http://schemas.openxmlformats.org/drawingml/2006/spreadsheetDrawing" xmlns:a="http://schemas.openxmlformats.org/drawingml/2006/main">
  <xdr:absoluteAnchor>
    <xdr:pos x="26216"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7.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8.xml><?xml version="1.0" encoding="utf-8"?>
<c:userShapes xmlns:c="http://schemas.openxmlformats.org/drawingml/2006/chart">
  <cdr:relSizeAnchor xmlns:cdr="http://schemas.openxmlformats.org/drawingml/2006/chartDrawing">
    <cdr:from>
      <cdr:x>0.69309</cdr:x>
      <cdr:y>0.22933</cdr:y>
    </cdr:from>
    <cdr:to>
      <cdr:x>0.85051</cdr:x>
      <cdr:y>0.27457</cdr:y>
    </cdr:to>
    <cdr:sp macro="" textlink="">
      <cdr:nvSpPr>
        <cdr:cNvPr id="2" name="TextBox 1"/>
        <cdr:cNvSpPr txBox="1"/>
      </cdr:nvSpPr>
      <cdr:spPr>
        <a:xfrm xmlns:a="http://schemas.openxmlformats.org/drawingml/2006/main">
          <a:off x="6009588" y="1443480"/>
          <a:ext cx="1364922" cy="284767"/>
        </a:xfrm>
        <a:prstGeom xmlns:a="http://schemas.openxmlformats.org/drawingml/2006/main" prst="rect">
          <a:avLst/>
        </a:prstGeom>
        <a:solidFill xmlns:a="http://schemas.openxmlformats.org/drawingml/2006/main">
          <a:schemeClr val="accent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n-CA" sz="1100" b="1">
              <a:solidFill>
                <a:schemeClr val="bg1"/>
              </a:solidFill>
            </a:rPr>
            <a:t>2005-06 to 2009-10</a:t>
          </a:r>
        </a:p>
      </cdr:txBody>
    </cdr:sp>
  </cdr:relSizeAnchor>
  <cdr:relSizeAnchor xmlns:cdr="http://schemas.openxmlformats.org/drawingml/2006/chartDrawing">
    <cdr:from>
      <cdr:x>0.69536</cdr:x>
      <cdr:y>0.29017</cdr:y>
    </cdr:from>
    <cdr:to>
      <cdr:x>0.85164</cdr:x>
      <cdr:y>0.33853</cdr:y>
    </cdr:to>
    <cdr:sp macro="" textlink="">
      <cdr:nvSpPr>
        <cdr:cNvPr id="3" name="TextBox 2"/>
        <cdr:cNvSpPr txBox="1"/>
      </cdr:nvSpPr>
      <cdr:spPr>
        <a:xfrm xmlns:a="http://schemas.openxmlformats.org/drawingml/2006/main">
          <a:off x="6029228" y="1826444"/>
          <a:ext cx="1355102" cy="304408"/>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2010-11</a:t>
          </a:r>
        </a:p>
        <a:p xmlns:a="http://schemas.openxmlformats.org/drawingml/2006/main">
          <a:endParaRPr lang="en-CA" sz="1100"/>
        </a:p>
      </cdr:txBody>
    </cdr:sp>
  </cdr:relSizeAnchor>
  <cdr:relSizeAnchor xmlns:cdr="http://schemas.openxmlformats.org/drawingml/2006/chartDrawing">
    <cdr:from>
      <cdr:x>0.69536</cdr:x>
      <cdr:y>0.35725</cdr:y>
    </cdr:from>
    <cdr:to>
      <cdr:x>0.85051</cdr:x>
      <cdr:y>0.40718</cdr:y>
    </cdr:to>
    <cdr:sp macro="" textlink="">
      <cdr:nvSpPr>
        <cdr:cNvPr id="4" name="TextBox 3"/>
        <cdr:cNvSpPr txBox="1"/>
      </cdr:nvSpPr>
      <cdr:spPr>
        <a:xfrm xmlns:a="http://schemas.openxmlformats.org/drawingml/2006/main">
          <a:off x="6029228" y="2248687"/>
          <a:ext cx="1345282" cy="314226"/>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1100" b="1"/>
            <a:t>2005-06</a:t>
          </a:r>
          <a:r>
            <a:rPr lang="en-CA" sz="1100" b="1" baseline="0"/>
            <a:t> to 2011-12</a:t>
          </a:r>
          <a:endParaRPr lang="en-CA" sz="1100" b="1"/>
        </a:p>
      </cdr:txBody>
    </cdr:sp>
  </cdr:relSizeAnchor>
</c:userShapes>
</file>

<file path=xl/drawings/drawing14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0.82578</cdr:x>
      <cdr:y>0.18447</cdr:y>
    </cdr:from>
    <cdr:to>
      <cdr:x>0.96576</cdr:x>
      <cdr:y>0.22746</cdr:y>
    </cdr:to>
    <cdr:sp macro="" textlink="">
      <cdr:nvSpPr>
        <cdr:cNvPr id="2" name="TextBox 1"/>
        <cdr:cNvSpPr txBox="1"/>
      </cdr:nvSpPr>
      <cdr:spPr>
        <a:xfrm xmlns:a="http://schemas.openxmlformats.org/drawingml/2006/main">
          <a:off x="7165592" y="1162250"/>
          <a:ext cx="1214657" cy="270869"/>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pPr algn="ctr"/>
          <a:r>
            <a:rPr lang="en-US" sz="1000" b="1" i="1"/>
            <a:t>Revised Oct.</a:t>
          </a:r>
          <a:r>
            <a:rPr lang="en-US" sz="1000" b="1" i="1" baseline="0"/>
            <a:t> 2012 </a:t>
          </a:r>
        </a:p>
        <a:p xmlns:a="http://schemas.openxmlformats.org/drawingml/2006/main">
          <a:endParaRPr lang="en-US" sz="1000" b="1" i="1"/>
        </a:p>
      </cdr:txBody>
    </cdr:sp>
  </cdr:relSizeAnchor>
  <cdr:relSizeAnchor xmlns:cdr="http://schemas.openxmlformats.org/drawingml/2006/chartDrawing">
    <cdr:from>
      <cdr:x>0.62034</cdr:x>
      <cdr:y>0.52705</cdr:y>
    </cdr:from>
    <cdr:to>
      <cdr:x>0.71098</cdr:x>
      <cdr:y>0.63523</cdr:y>
    </cdr:to>
    <cdr:sp macro="" textlink="">
      <cdr:nvSpPr>
        <cdr:cNvPr id="3" name="TextBox 2"/>
        <cdr:cNvSpPr txBox="1"/>
      </cdr:nvSpPr>
      <cdr:spPr>
        <a:xfrm xmlns:a="http://schemas.openxmlformats.org/drawingml/2006/main">
          <a:off x="5382936" y="3320669"/>
          <a:ext cx="786468" cy="6815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i="1"/>
            <a:t>Incl.</a:t>
          </a:r>
          <a:r>
            <a:rPr lang="en-US" sz="1000" b="1" i="1" baseline="0"/>
            <a:t> First Nations SA &amp; AISH</a:t>
          </a:r>
          <a:endParaRPr lang="en-US" sz="1000" b="1" i="1"/>
        </a:p>
      </cdr:txBody>
    </cdr:sp>
  </cdr:relSizeAnchor>
  <cdr:relSizeAnchor xmlns:cdr="http://schemas.openxmlformats.org/drawingml/2006/chartDrawing">
    <cdr:from>
      <cdr:x>0.75227</cdr:x>
      <cdr:y>0.65326</cdr:y>
    </cdr:from>
    <cdr:to>
      <cdr:x>0.84089</cdr:x>
      <cdr:y>0.74619</cdr:y>
    </cdr:to>
    <cdr:sp macro="" textlink="">
      <cdr:nvSpPr>
        <cdr:cNvPr id="4" name="TextBox 3"/>
        <cdr:cNvSpPr txBox="1"/>
      </cdr:nvSpPr>
      <cdr:spPr>
        <a:xfrm xmlns:a="http://schemas.openxmlformats.org/drawingml/2006/main">
          <a:off x="6527684" y="4115848"/>
          <a:ext cx="768990" cy="585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b="1" i="1"/>
            <a:t>Incl.</a:t>
          </a:r>
          <a:r>
            <a:rPr lang="en-US" sz="1000" b="1" i="1" baseline="0"/>
            <a:t> federal WComp.</a:t>
          </a:r>
          <a:endParaRPr lang="en-US" sz="1000" b="1" i="1"/>
        </a:p>
      </cdr:txBody>
    </cdr:sp>
  </cdr:relSizeAnchor>
</c:userShapes>
</file>

<file path=xl/drawings/drawing150.xml><?xml version="1.0" encoding="utf-8"?>
<c:userShapes xmlns:c="http://schemas.openxmlformats.org/drawingml/2006/chart">
  <cdr:relSizeAnchor xmlns:cdr="http://schemas.openxmlformats.org/drawingml/2006/chartDrawing">
    <cdr:from>
      <cdr:x>0.0856</cdr:x>
      <cdr:y>0.23024</cdr:y>
    </cdr:from>
    <cdr:to>
      <cdr:x>0.22659</cdr:x>
      <cdr:y>0.26907</cdr:y>
    </cdr:to>
    <cdr:sp macro="" textlink="">
      <cdr:nvSpPr>
        <cdr:cNvPr id="2" name="TextBox 1"/>
        <cdr:cNvSpPr txBox="1"/>
      </cdr:nvSpPr>
      <cdr:spPr>
        <a:xfrm xmlns:a="http://schemas.openxmlformats.org/drawingml/2006/main">
          <a:off x="742776" y="1450595"/>
          <a:ext cx="1223394" cy="244679"/>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US" sz="1000" b="1" baseline="0">
              <a:solidFill>
                <a:schemeClr val="bg1"/>
              </a:solidFill>
            </a:rPr>
            <a:t>2005-06 to 2009-10</a:t>
          </a:r>
        </a:p>
      </cdr:txBody>
    </cdr:sp>
  </cdr:relSizeAnchor>
  <cdr:relSizeAnchor xmlns:cdr="http://schemas.openxmlformats.org/drawingml/2006/chartDrawing">
    <cdr:from>
      <cdr:x>0.0856</cdr:x>
      <cdr:y>0.27739</cdr:y>
    </cdr:from>
    <cdr:to>
      <cdr:x>0.22659</cdr:x>
      <cdr:y>0.31623</cdr:y>
    </cdr:to>
    <cdr:sp macro="" textlink="">
      <cdr:nvSpPr>
        <cdr:cNvPr id="3" name="TextBox 2"/>
        <cdr:cNvSpPr txBox="1"/>
      </cdr:nvSpPr>
      <cdr:spPr>
        <a:xfrm xmlns:a="http://schemas.openxmlformats.org/drawingml/2006/main">
          <a:off x="742775" y="1747706"/>
          <a:ext cx="1223395" cy="244679"/>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US" sz="1000" b="1"/>
            <a:t>2005-06 to 1010-11</a:t>
          </a:r>
        </a:p>
      </cdr:txBody>
    </cdr:sp>
  </cdr:relSizeAnchor>
</c:userShapes>
</file>

<file path=xl/drawings/drawing151.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2.xml><?xml version="1.0" encoding="utf-8"?>
<c:userShapes xmlns:c="http://schemas.openxmlformats.org/drawingml/2006/chart">
  <cdr:relSizeAnchor xmlns:cdr="http://schemas.openxmlformats.org/drawingml/2006/chartDrawing">
    <cdr:from>
      <cdr:x>0.09853</cdr:x>
      <cdr:y>0.77691</cdr:y>
    </cdr:from>
    <cdr:to>
      <cdr:x>0.30804</cdr:x>
      <cdr:y>0.88768</cdr:y>
    </cdr:to>
    <cdr:sp macro="" textlink="">
      <cdr:nvSpPr>
        <cdr:cNvPr id="2" name="TextBox 1"/>
        <cdr:cNvSpPr txBox="1"/>
      </cdr:nvSpPr>
      <cdr:spPr>
        <a:xfrm xmlns:a="http://schemas.openxmlformats.org/drawingml/2006/main">
          <a:off x="854303" y="4890155"/>
          <a:ext cx="1816625" cy="697190"/>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200" b="1">
              <a:latin typeface="+mn-lt"/>
              <a:ea typeface="+mn-ea"/>
              <a:cs typeface="+mn-cs"/>
            </a:rPr>
            <a:t>INCOME ASSISTANCE FOR </a:t>
          </a:r>
          <a:r>
            <a:rPr lang="en-US" sz="1300" b="1">
              <a:latin typeface="+mn-lt"/>
              <a:ea typeface="+mn-ea"/>
              <a:cs typeface="+mn-cs"/>
            </a:rPr>
            <a:t>THE</a:t>
          </a:r>
          <a:r>
            <a:rPr lang="en-US" sz="1200" b="1">
              <a:latin typeface="+mn-lt"/>
              <a:ea typeface="+mn-ea"/>
              <a:cs typeface="+mn-cs"/>
            </a:rPr>
            <a:t> DISABLED (IAD) </a:t>
          </a:r>
          <a:endParaRPr lang="en-CA" sz="1200"/>
        </a:p>
        <a:p xmlns:a="http://schemas.openxmlformats.org/drawingml/2006/main">
          <a:pPr algn="ctr"/>
          <a:r>
            <a:rPr lang="en-US" sz="1200" b="1">
              <a:latin typeface="+mn-lt"/>
              <a:ea typeface="+mn-ea"/>
              <a:cs typeface="+mn-cs"/>
            </a:rPr>
            <a:t>&amp; FIRST</a:t>
          </a:r>
          <a:r>
            <a:rPr lang="en-US" sz="1200" b="1" baseline="0">
              <a:latin typeface="+mn-lt"/>
              <a:ea typeface="+mn-ea"/>
              <a:cs typeface="+mn-cs"/>
            </a:rPr>
            <a:t> NATIONS SA</a:t>
          </a:r>
          <a:endParaRPr lang="en-US" sz="1200" b="1">
            <a:latin typeface="+mn-lt"/>
            <a:ea typeface="+mn-ea"/>
            <a:cs typeface="+mn-cs"/>
          </a:endParaRPr>
        </a:p>
        <a:p xmlns:a="http://schemas.openxmlformats.org/drawingml/2006/main">
          <a:endParaRPr lang="en-CA" sz="1200"/>
        </a:p>
      </cdr:txBody>
    </cdr:sp>
  </cdr:relSizeAnchor>
  <cdr:relSizeAnchor xmlns:cdr="http://schemas.openxmlformats.org/drawingml/2006/chartDrawing">
    <cdr:from>
      <cdr:x>0.42129</cdr:x>
      <cdr:y>0.68643</cdr:y>
    </cdr:from>
    <cdr:to>
      <cdr:x>0.60815</cdr:x>
      <cdr:y>0.80499</cdr:y>
    </cdr:to>
    <cdr:sp macro="" textlink="">
      <cdr:nvSpPr>
        <cdr:cNvPr id="3" name="TextBox 2"/>
        <cdr:cNvSpPr txBox="1"/>
      </cdr:nvSpPr>
      <cdr:spPr>
        <a:xfrm xmlns:a="http://schemas.openxmlformats.org/drawingml/2006/main">
          <a:off x="3652887" y="4320620"/>
          <a:ext cx="1620232" cy="746288"/>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300" b="1" i="0" baseline="0">
              <a:latin typeface="+mn-lt"/>
              <a:ea typeface="+mn-ea"/>
              <a:cs typeface="+mn-cs"/>
            </a:rPr>
            <a:t>TOTAL INCOME SUPPORT FOR THE DISABLED</a:t>
          </a:r>
          <a:endParaRPr lang="en-US" sz="13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0.73613</cdr:x>
      <cdr:y>0.57878</cdr:y>
    </cdr:from>
    <cdr:to>
      <cdr:x>0.93205</cdr:x>
      <cdr:y>0.79407</cdr:y>
    </cdr:to>
    <cdr:sp macro="" textlink="">
      <cdr:nvSpPr>
        <cdr:cNvPr id="4" name="TextBox 3"/>
        <cdr:cNvSpPr txBox="1"/>
      </cdr:nvSpPr>
      <cdr:spPr>
        <a:xfrm xmlns:a="http://schemas.openxmlformats.org/drawingml/2006/main">
          <a:off x="6382732" y="3643068"/>
          <a:ext cx="1698789" cy="1355102"/>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300" b="1" i="0" baseline="0">
              <a:latin typeface="+mn-lt"/>
              <a:ea typeface="+mn-ea"/>
              <a:cs typeface="+mn-cs"/>
            </a:rPr>
            <a:t>TOTAL</a:t>
          </a:r>
          <a:r>
            <a:rPr lang="en-US" sz="1300" b="1" i="0">
              <a:latin typeface="+mn-lt"/>
              <a:ea typeface="+mn-ea"/>
              <a:cs typeface="+mn-cs"/>
            </a:rPr>
            <a:t> INCOME SUPPORT FOR THE DISABLED</a:t>
          </a:r>
          <a:r>
            <a:rPr lang="en-US" sz="1300" b="1" i="0" baseline="0">
              <a:latin typeface="+mn-lt"/>
              <a:ea typeface="+mn-ea"/>
              <a:cs typeface="+mn-cs"/>
            </a:rPr>
            <a:t> </a:t>
          </a:r>
          <a:endParaRPr lang="en-US" sz="1300">
            <a:latin typeface="+mn-lt"/>
            <a:ea typeface="+mn-ea"/>
            <a:cs typeface="+mn-cs"/>
          </a:endParaRPr>
        </a:p>
        <a:p xmlns:a="http://schemas.openxmlformats.org/drawingml/2006/main">
          <a:pPr algn="ctr"/>
          <a:r>
            <a:rPr lang="en-US" sz="1300" b="1" i="0" baseline="0">
              <a:latin typeface="+mn-lt"/>
              <a:ea typeface="+mn-ea"/>
              <a:cs typeface="+mn-cs"/>
            </a:rPr>
            <a:t>EXCL. </a:t>
          </a:r>
          <a:endParaRPr lang="en-US" sz="1300">
            <a:latin typeface="+mn-lt"/>
            <a:ea typeface="+mn-ea"/>
            <a:cs typeface="+mn-cs"/>
          </a:endParaRPr>
        </a:p>
        <a:p xmlns:a="http://schemas.openxmlformats.org/drawingml/2006/main">
          <a:pPr algn="ctr"/>
          <a:r>
            <a:rPr lang="en-US" sz="1300" b="1" i="0" baseline="0">
              <a:latin typeface="+mn-lt"/>
              <a:ea typeface="+mn-ea"/>
              <a:cs typeface="+mn-cs"/>
            </a:rPr>
            <a:t>IAD &amp; FIRST NATIONS SA</a:t>
          </a:r>
          <a:endParaRPr lang="en-US" sz="1300" b="1" i="0">
            <a:latin typeface="+mn-lt"/>
            <a:ea typeface="+mn-ea"/>
            <a:cs typeface="+mn-cs"/>
          </a:endParaRPr>
        </a:p>
        <a:p xmlns:a="http://schemas.openxmlformats.org/drawingml/2006/main">
          <a:endParaRPr lang="en-CA" sz="1100"/>
        </a:p>
      </cdr:txBody>
    </cdr:sp>
  </cdr:relSizeAnchor>
</c:userShapes>
</file>

<file path=xl/drawings/drawing15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4.xml><?xml version="1.0" encoding="utf-8"?>
<c:userShapes xmlns:c="http://schemas.openxmlformats.org/drawingml/2006/chart">
  <cdr:relSizeAnchor xmlns:cdr="http://schemas.openxmlformats.org/drawingml/2006/chartDrawing">
    <cdr:from>
      <cdr:x>0.10171</cdr:x>
      <cdr:y>0.76144</cdr:y>
    </cdr:from>
    <cdr:to>
      <cdr:x>0.30614</cdr:x>
      <cdr:y>0.90846</cdr:y>
    </cdr:to>
    <cdr:sp macro="" textlink="">
      <cdr:nvSpPr>
        <cdr:cNvPr id="2" name="TextBox 1"/>
        <cdr:cNvSpPr txBox="1"/>
      </cdr:nvSpPr>
      <cdr:spPr>
        <a:xfrm xmlns:a="http://schemas.openxmlformats.org/drawingml/2006/main">
          <a:off x="882593" y="4797454"/>
          <a:ext cx="1773922" cy="92628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300" b="1">
              <a:latin typeface="+mn-lt"/>
              <a:ea typeface="+mn-ea"/>
              <a:cs typeface="+mn-cs"/>
            </a:rPr>
            <a:t>INCOME ASSISTANCE FOR THE DISABLED</a:t>
          </a:r>
        </a:p>
        <a:p xmlns:a="http://schemas.openxmlformats.org/drawingml/2006/main">
          <a:pPr algn="ctr"/>
          <a:r>
            <a:rPr lang="en-US" sz="1300" b="1">
              <a:latin typeface="+mn-lt"/>
              <a:ea typeface="+mn-ea"/>
              <a:cs typeface="+mn-cs"/>
            </a:rPr>
            <a:t>(IAD) </a:t>
          </a:r>
        </a:p>
        <a:p xmlns:a="http://schemas.openxmlformats.org/drawingml/2006/main">
          <a:pPr algn="ctr"/>
          <a:r>
            <a:rPr lang="en-US" sz="1300" b="1">
              <a:latin typeface="+mn-lt"/>
              <a:ea typeface="+mn-ea"/>
              <a:cs typeface="+mn-cs"/>
            </a:rPr>
            <a:t>&amp; FIRST</a:t>
          </a:r>
          <a:r>
            <a:rPr lang="en-US" sz="1300" b="1" baseline="0">
              <a:latin typeface="+mn-lt"/>
              <a:ea typeface="+mn-ea"/>
              <a:cs typeface="+mn-cs"/>
            </a:rPr>
            <a:t> NATIONS SA</a:t>
          </a:r>
          <a:endParaRPr lang="en-US" sz="13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0.41994</cdr:x>
      <cdr:y>0.64355</cdr:y>
    </cdr:from>
    <cdr:to>
      <cdr:x>0.6143</cdr:x>
      <cdr:y>0.75589</cdr:y>
    </cdr:to>
    <cdr:sp macro="" textlink="">
      <cdr:nvSpPr>
        <cdr:cNvPr id="3" name="TextBox 2"/>
        <cdr:cNvSpPr txBox="1"/>
      </cdr:nvSpPr>
      <cdr:spPr>
        <a:xfrm xmlns:a="http://schemas.openxmlformats.org/drawingml/2006/main">
          <a:off x="3643968" y="4054679"/>
          <a:ext cx="1686537" cy="707821"/>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300" b="1" i="0" baseline="0">
              <a:latin typeface="+mn-lt"/>
              <a:ea typeface="+mn-ea"/>
              <a:cs typeface="+mn-cs"/>
            </a:rPr>
            <a:t>TOTAL INCOME SUPPORT FOR THE DISABLED</a:t>
          </a:r>
          <a:endParaRPr lang="en-US" sz="13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0.7281</cdr:x>
      <cdr:y>0.5853</cdr:y>
    </cdr:from>
    <cdr:to>
      <cdr:x>0.92951</cdr:x>
      <cdr:y>0.80166</cdr:y>
    </cdr:to>
    <cdr:sp macro="" textlink="">
      <cdr:nvSpPr>
        <cdr:cNvPr id="4" name="TextBox 3"/>
        <cdr:cNvSpPr txBox="1"/>
      </cdr:nvSpPr>
      <cdr:spPr>
        <a:xfrm xmlns:a="http://schemas.openxmlformats.org/drawingml/2006/main">
          <a:off x="6317959" y="3687661"/>
          <a:ext cx="1747706" cy="1363211"/>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300" b="1" i="0" baseline="0">
              <a:latin typeface="+mn-lt"/>
              <a:ea typeface="+mn-ea"/>
              <a:cs typeface="+mn-cs"/>
            </a:rPr>
            <a:t>TOTAL</a:t>
          </a:r>
          <a:r>
            <a:rPr lang="en-US" sz="1300" b="1" i="0">
              <a:latin typeface="+mn-lt"/>
              <a:ea typeface="+mn-ea"/>
              <a:cs typeface="+mn-cs"/>
            </a:rPr>
            <a:t> INCOME SUPPORT FOR THE DISABLED</a:t>
          </a:r>
          <a:r>
            <a:rPr lang="en-US" sz="1300" b="1" i="0" baseline="0">
              <a:latin typeface="+mn-lt"/>
              <a:ea typeface="+mn-ea"/>
              <a:cs typeface="+mn-cs"/>
            </a:rPr>
            <a:t> </a:t>
          </a:r>
          <a:endParaRPr lang="en-US" sz="1300">
            <a:latin typeface="+mn-lt"/>
            <a:ea typeface="+mn-ea"/>
            <a:cs typeface="+mn-cs"/>
          </a:endParaRPr>
        </a:p>
        <a:p xmlns:a="http://schemas.openxmlformats.org/drawingml/2006/main">
          <a:pPr algn="ctr"/>
          <a:r>
            <a:rPr lang="en-US" sz="1300" b="1" i="0" baseline="0">
              <a:latin typeface="+mn-lt"/>
              <a:ea typeface="+mn-ea"/>
              <a:cs typeface="+mn-cs"/>
            </a:rPr>
            <a:t>EXCL. </a:t>
          </a:r>
          <a:endParaRPr lang="en-US" sz="1300">
            <a:latin typeface="+mn-lt"/>
            <a:ea typeface="+mn-ea"/>
            <a:cs typeface="+mn-cs"/>
          </a:endParaRPr>
        </a:p>
        <a:p xmlns:a="http://schemas.openxmlformats.org/drawingml/2006/main">
          <a:pPr algn="ctr"/>
          <a:r>
            <a:rPr lang="en-US" sz="1300" b="1" i="0" baseline="0">
              <a:latin typeface="+mn-lt"/>
              <a:ea typeface="+mn-ea"/>
              <a:cs typeface="+mn-cs"/>
            </a:rPr>
            <a:t>IAD &amp; FIRST NATIONS SA</a:t>
          </a:r>
          <a:endParaRPr lang="en-US" sz="1300" b="1" i="0">
            <a:latin typeface="+mn-lt"/>
            <a:ea typeface="+mn-ea"/>
            <a:cs typeface="+mn-cs"/>
          </a:endParaRPr>
        </a:p>
        <a:p xmlns:a="http://schemas.openxmlformats.org/drawingml/2006/main">
          <a:endParaRPr lang="en-US" sz="1100"/>
        </a:p>
      </cdr:txBody>
    </cdr:sp>
  </cdr:relSizeAnchor>
</c:userShapes>
</file>

<file path=xl/drawings/drawing15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6.xml><?xml version="1.0" encoding="utf-8"?>
<c:userShapes xmlns:c="http://schemas.openxmlformats.org/drawingml/2006/chart">
  <cdr:relSizeAnchor xmlns:cdr="http://schemas.openxmlformats.org/drawingml/2006/chartDrawing">
    <cdr:from>
      <cdr:x>0.1109</cdr:x>
      <cdr:y>0.61095</cdr:y>
    </cdr:from>
    <cdr:to>
      <cdr:x>0.3112</cdr:x>
      <cdr:y>0.91798</cdr:y>
    </cdr:to>
    <cdr:sp macro="" textlink="">
      <cdr:nvSpPr>
        <cdr:cNvPr id="2" name="TextBox 1"/>
        <cdr:cNvSpPr txBox="1"/>
      </cdr:nvSpPr>
      <cdr:spPr>
        <a:xfrm xmlns:a="http://schemas.openxmlformats.org/drawingml/2006/main">
          <a:off x="962319" y="3849279"/>
          <a:ext cx="1738076" cy="1934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INCOME ASSISTANCE FOR PERSONS WITH DISABILITIES</a:t>
          </a:r>
          <a:endParaRPr lang="en-US" sz="1400"/>
        </a:p>
        <a:p xmlns:a="http://schemas.openxmlformats.org/drawingml/2006/main">
          <a:pPr algn="ctr"/>
          <a:r>
            <a:rPr lang="en-US" sz="1400" b="1">
              <a:latin typeface="+mn-lt"/>
              <a:ea typeface="+mn-ea"/>
              <a:cs typeface="+mn-cs"/>
            </a:rPr>
            <a:t>(IAD) </a:t>
          </a:r>
          <a:endParaRPr lang="en-US" sz="1400"/>
        </a:p>
        <a:p xmlns:a="http://schemas.openxmlformats.org/drawingml/2006/main">
          <a:pPr algn="ctr"/>
          <a:r>
            <a:rPr lang="en-US" sz="1400" b="1">
              <a:latin typeface="+mn-lt"/>
              <a:ea typeface="+mn-ea"/>
              <a:cs typeface="+mn-cs"/>
            </a:rPr>
            <a:t>&amp; FIRST</a:t>
          </a:r>
          <a:r>
            <a:rPr lang="en-US" sz="1400" b="1" baseline="0">
              <a:latin typeface="+mn-lt"/>
              <a:ea typeface="+mn-ea"/>
              <a:cs typeface="+mn-cs"/>
            </a:rPr>
            <a: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0.42699</cdr:x>
      <cdr:y>0.51744</cdr:y>
    </cdr:from>
    <cdr:to>
      <cdr:x>0.61833</cdr:x>
      <cdr:y>0.81831</cdr:y>
    </cdr:to>
    <cdr:sp macro="" textlink="">
      <cdr:nvSpPr>
        <cdr:cNvPr id="3" name="TextBox 2"/>
        <cdr:cNvSpPr txBox="1"/>
      </cdr:nvSpPr>
      <cdr:spPr>
        <a:xfrm xmlns:a="http://schemas.openxmlformats.org/drawingml/2006/main">
          <a:off x="3705147" y="3260103"/>
          <a:ext cx="1660326" cy="18956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i="0" baseline="0">
              <a:latin typeface="+mn-lt"/>
              <a:ea typeface="+mn-ea"/>
              <a:cs typeface="+mn-cs"/>
            </a:rPr>
            <a:t>TOTAL INCOME SUPPORT FOR PERSONS WITH DISABILITIES</a:t>
          </a:r>
          <a:endParaRPr lang="en-US" sz="1100"/>
        </a:p>
      </cdr:txBody>
    </cdr:sp>
  </cdr:relSizeAnchor>
  <cdr:relSizeAnchor xmlns:cdr="http://schemas.openxmlformats.org/drawingml/2006/chartDrawing">
    <cdr:from>
      <cdr:x>0.73716</cdr:x>
      <cdr:y>0.44574</cdr:y>
    </cdr:from>
    <cdr:to>
      <cdr:x>0.92145</cdr:x>
      <cdr:y>0.85159</cdr:y>
    </cdr:to>
    <cdr:sp macro="" textlink="">
      <cdr:nvSpPr>
        <cdr:cNvPr id="4" name="TextBox 3"/>
        <cdr:cNvSpPr txBox="1"/>
      </cdr:nvSpPr>
      <cdr:spPr>
        <a:xfrm xmlns:a="http://schemas.openxmlformats.org/drawingml/2006/main">
          <a:off x="6396604" y="2808402"/>
          <a:ext cx="1599151" cy="2557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baseline="0">
              <a:latin typeface="+mn-lt"/>
              <a:ea typeface="+mn-ea"/>
              <a:cs typeface="+mn-cs"/>
            </a:rPr>
            <a:t>TOTAL</a:t>
          </a:r>
          <a:r>
            <a:rPr lang="en-US" sz="1400" b="1" i="0">
              <a:latin typeface="+mn-lt"/>
              <a:ea typeface="+mn-ea"/>
              <a:cs typeface="+mn-cs"/>
            </a:rPr>
            <a:t> INCOME SUPPORT FOR  PERSONS WITH DISABILITIES</a:t>
          </a:r>
          <a:r>
            <a:rPr lang="en-US" sz="1400" b="1" i="0" baseline="0">
              <a:latin typeface="+mn-lt"/>
              <a:ea typeface="+mn-ea"/>
              <a:cs typeface="+mn-cs"/>
            </a:rPr>
            <a:t> </a:t>
          </a:r>
          <a:endParaRPr lang="en-US" sz="1400"/>
        </a:p>
        <a:p xmlns:a="http://schemas.openxmlformats.org/drawingml/2006/main">
          <a:pPr algn="ctr"/>
          <a:r>
            <a:rPr lang="en-US" sz="1400" b="1" i="0" baseline="0">
              <a:latin typeface="+mn-lt"/>
              <a:ea typeface="+mn-ea"/>
              <a:cs typeface="+mn-cs"/>
            </a:rPr>
            <a:t>EXCL. </a:t>
          </a:r>
          <a:endParaRPr lang="en-US" sz="1400"/>
        </a:p>
        <a:p xmlns:a="http://schemas.openxmlformats.org/drawingml/2006/main">
          <a:pPr algn="ctr"/>
          <a:r>
            <a:rPr lang="en-US" sz="1400" b="1" i="0" baseline="0">
              <a:latin typeface="+mn-lt"/>
              <a:ea typeface="+mn-ea"/>
              <a:cs typeface="+mn-cs"/>
            </a:rPr>
            <a:t>IAD &amp; FIRST NATIONS SA</a:t>
          </a:r>
          <a:endParaRPr lang="en-US" sz="1400" b="1" i="0">
            <a:latin typeface="+mn-lt"/>
            <a:ea typeface="+mn-ea"/>
            <a:cs typeface="+mn-cs"/>
          </a:endParaRPr>
        </a:p>
        <a:p xmlns:a="http://schemas.openxmlformats.org/drawingml/2006/main">
          <a:endParaRPr lang="en-US" sz="1100"/>
        </a:p>
      </cdr:txBody>
    </cdr:sp>
  </cdr:relSizeAnchor>
</c:userShapes>
</file>

<file path=xl/drawings/drawing15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8.xml><?xml version="1.0" encoding="utf-8"?>
<c:userShapes xmlns:c="http://schemas.openxmlformats.org/drawingml/2006/chart">
  <cdr:relSizeAnchor xmlns:cdr="http://schemas.openxmlformats.org/drawingml/2006/chartDrawing">
    <cdr:from>
      <cdr:x>0.11581</cdr:x>
      <cdr:y>0.72677</cdr:y>
    </cdr:from>
    <cdr:to>
      <cdr:x>0.31621</cdr:x>
      <cdr:y>0.94036</cdr:y>
    </cdr:to>
    <cdr:sp macro="" textlink="">
      <cdr:nvSpPr>
        <cdr:cNvPr id="2" name="TextBox 1"/>
        <cdr:cNvSpPr txBox="1"/>
      </cdr:nvSpPr>
      <cdr:spPr>
        <a:xfrm xmlns:a="http://schemas.openxmlformats.org/drawingml/2006/main">
          <a:off x="1004925" y="4578991"/>
          <a:ext cx="1738974" cy="13457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INCOME ASSISTANCE FOR THE DISABLED</a:t>
          </a:r>
        </a:p>
        <a:p xmlns:a="http://schemas.openxmlformats.org/drawingml/2006/main">
          <a:pPr algn="ctr"/>
          <a:r>
            <a:rPr lang="en-US" sz="1400" b="1"/>
            <a:t>(IAD) </a:t>
          </a:r>
        </a:p>
        <a:p xmlns:a="http://schemas.openxmlformats.org/drawingml/2006/main">
          <a:pPr algn="ctr"/>
          <a:r>
            <a:rPr lang="en-US" sz="1400" b="1"/>
            <a:t>&amp; FIRST</a:t>
          </a:r>
          <a:r>
            <a:rPr lang="en-US" sz="1400" b="1" baseline="0"/>
            <a:t> NATIONS SA</a:t>
          </a:r>
          <a:endParaRPr lang="en-US" sz="1400" b="1"/>
        </a:p>
      </cdr:txBody>
    </cdr:sp>
  </cdr:relSizeAnchor>
  <cdr:relSizeAnchor xmlns:cdr="http://schemas.openxmlformats.org/drawingml/2006/chartDrawing">
    <cdr:from>
      <cdr:x>0.43605</cdr:x>
      <cdr:y>0.57559</cdr:y>
    </cdr:from>
    <cdr:to>
      <cdr:x>0.60725</cdr:x>
      <cdr:y>0.71151</cdr:y>
    </cdr:to>
    <cdr:sp macro="" textlink="">
      <cdr:nvSpPr>
        <cdr:cNvPr id="3" name="TextBox 2"/>
        <cdr:cNvSpPr txBox="1"/>
      </cdr:nvSpPr>
      <cdr:spPr>
        <a:xfrm xmlns:a="http://schemas.openxmlformats.org/drawingml/2006/main">
          <a:off x="3783784" y="3626491"/>
          <a:ext cx="1485551" cy="8563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baseline="0"/>
            <a:t>TOTAL INCOME SUPPORT FOR THE DISABLED</a:t>
          </a:r>
        </a:p>
      </cdr:txBody>
    </cdr:sp>
  </cdr:relSizeAnchor>
  <cdr:relSizeAnchor xmlns:cdr="http://schemas.openxmlformats.org/drawingml/2006/chartDrawing">
    <cdr:from>
      <cdr:x>0.74018</cdr:x>
      <cdr:y>0.51456</cdr:y>
    </cdr:from>
    <cdr:to>
      <cdr:x>0.92749</cdr:x>
      <cdr:y>0.75867</cdr:y>
    </cdr:to>
    <cdr:sp macro="" textlink="">
      <cdr:nvSpPr>
        <cdr:cNvPr id="4" name="TextBox 3"/>
        <cdr:cNvSpPr txBox="1"/>
      </cdr:nvSpPr>
      <cdr:spPr>
        <a:xfrm xmlns:a="http://schemas.openxmlformats.org/drawingml/2006/main">
          <a:off x="6422810" y="3241976"/>
          <a:ext cx="1625356" cy="1538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baseline="0"/>
            <a:t>TOTAL</a:t>
          </a:r>
          <a:r>
            <a:rPr lang="en-US" sz="1400" b="1" i="0"/>
            <a:t> INCOME SUPPORT FOR THE DISABLED</a:t>
          </a:r>
          <a:r>
            <a:rPr lang="en-US" sz="1400" b="1" i="0" baseline="0"/>
            <a:t> </a:t>
          </a:r>
        </a:p>
        <a:p xmlns:a="http://schemas.openxmlformats.org/drawingml/2006/main">
          <a:pPr algn="ctr"/>
          <a:r>
            <a:rPr lang="en-US" sz="1400" b="1" i="0" baseline="0"/>
            <a:t>EXCL. </a:t>
          </a:r>
        </a:p>
        <a:p xmlns:a="http://schemas.openxmlformats.org/drawingml/2006/main">
          <a:pPr algn="ctr"/>
          <a:r>
            <a:rPr lang="en-US" sz="1400" b="1" i="0" baseline="0"/>
            <a:t>IAD &amp; FIRST NATIONS SA</a:t>
          </a:r>
          <a:endParaRPr lang="en-US" sz="1400" b="1" i="0"/>
        </a:p>
      </cdr:txBody>
    </cdr:sp>
  </cdr:relSizeAnchor>
</c:userShapes>
</file>

<file path=xl/drawings/drawing159.xml><?xml version="1.0" encoding="utf-8"?>
<xdr:wsDr xmlns:xdr="http://schemas.openxmlformats.org/drawingml/2006/spreadsheetDrawing" xmlns:a="http://schemas.openxmlformats.org/drawingml/2006/main">
  <xdr:absoluteAnchor>
    <xdr:pos x="0"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0.xml><?xml version="1.0" encoding="utf-8"?>
<xdr:wsDr xmlns:xdr="http://schemas.openxmlformats.org/drawingml/2006/spreadsheetDrawing" xmlns:a="http://schemas.openxmlformats.org/drawingml/2006/main">
  <xdr:absoluteAnchor>
    <xdr:pos x="-9819" y="29458"/>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1.xml><?xml version="1.0" encoding="utf-8"?>
<xdr:wsDr xmlns:xdr="http://schemas.openxmlformats.org/drawingml/2006/spreadsheetDrawing" xmlns:a="http://schemas.openxmlformats.org/drawingml/2006/main">
  <xdr:absoluteAnchor>
    <xdr:pos x="19639"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2.xml><?xml version="1.0" encoding="utf-8"?>
<xdr:wsDr xmlns:xdr="http://schemas.openxmlformats.org/drawingml/2006/spreadsheetDrawing" xmlns:a="http://schemas.openxmlformats.org/drawingml/2006/main">
  <xdr:absoluteAnchor>
    <xdr:pos x="8738"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3.xml><?xml version="1.0" encoding="utf-8"?>
<xdr:wsDr xmlns:xdr="http://schemas.openxmlformats.org/drawingml/2006/spreadsheetDrawing" xmlns:a="http://schemas.openxmlformats.org/drawingml/2006/main">
  <xdr:absoluteAnchor>
    <xdr:pos x="26216"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4.xml><?xml version="1.0" encoding="utf-8"?>
<c:userShapes xmlns:c="http://schemas.openxmlformats.org/drawingml/2006/chart">
  <cdr:relSizeAnchor xmlns:cdr="http://schemas.openxmlformats.org/drawingml/2006/chartDrawing">
    <cdr:from>
      <cdr:x>0.75327</cdr:x>
      <cdr:y>0.86269</cdr:y>
    </cdr:from>
    <cdr:to>
      <cdr:x>0.88922</cdr:x>
      <cdr:y>0.91123</cdr:y>
    </cdr:to>
    <cdr:sp macro="" textlink="">
      <cdr:nvSpPr>
        <cdr:cNvPr id="2" name="TextBox 1"/>
        <cdr:cNvSpPr txBox="1"/>
      </cdr:nvSpPr>
      <cdr:spPr>
        <a:xfrm xmlns:a="http://schemas.openxmlformats.org/drawingml/2006/main">
          <a:off x="6536421" y="5435366"/>
          <a:ext cx="1179701" cy="30584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000" b="1" i="1"/>
        </a:p>
      </cdr:txBody>
    </cdr:sp>
  </cdr:relSizeAnchor>
</c:userShapes>
</file>

<file path=xl/drawings/drawing165.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8.xml><?xml version="1.0" encoding="utf-8"?>
<xdr:wsDr xmlns:xdr="http://schemas.openxmlformats.org/drawingml/2006/spreadsheetDrawing" xmlns:a="http://schemas.openxmlformats.org/drawingml/2006/main">
  <xdr:absoluteAnchor>
    <xdr:pos x="-29459" y="29458"/>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9.xml><?xml version="1.0" encoding="utf-8"?>
<c:userShapes xmlns:c="http://schemas.openxmlformats.org/drawingml/2006/chart">
  <cdr:relSizeAnchor xmlns:cdr="http://schemas.openxmlformats.org/drawingml/2006/chartDrawing">
    <cdr:from>
      <cdr:x>0.83465</cdr:x>
      <cdr:y>0.21529</cdr:y>
    </cdr:from>
    <cdr:to>
      <cdr:x>0.98981</cdr:x>
      <cdr:y>0.26521</cdr:y>
    </cdr:to>
    <cdr:sp macro="" textlink="">
      <cdr:nvSpPr>
        <cdr:cNvPr id="3" name="TextBox 2"/>
        <cdr:cNvSpPr txBox="1"/>
      </cdr:nvSpPr>
      <cdr:spPr>
        <a:xfrm xmlns:a="http://schemas.openxmlformats.org/drawingml/2006/main">
          <a:off x="7237037" y="1355104"/>
          <a:ext cx="1345284" cy="314227"/>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lstStyle xmlns:a="http://schemas.openxmlformats.org/drawingml/2006/main"/>
        <a:p xmlns:a="http://schemas.openxmlformats.org/drawingml/2006/main">
          <a:r>
            <a:rPr lang="en-CA" sz="1100" b="1">
              <a:solidFill>
                <a:schemeClr val="bg1"/>
              </a:solidFill>
            </a:rPr>
            <a:t>2005-06</a:t>
          </a:r>
          <a:r>
            <a:rPr lang="en-CA" sz="1100" b="1" baseline="0">
              <a:solidFill>
                <a:schemeClr val="bg1"/>
              </a:solidFill>
            </a:rPr>
            <a:t> to 2009-10</a:t>
          </a:r>
          <a:endParaRPr lang="en-CA" sz="1100" b="1">
            <a:solidFill>
              <a:schemeClr val="bg1"/>
            </a:solidFill>
          </a:endParaRPr>
        </a:p>
      </cdr:txBody>
    </cdr:sp>
  </cdr:relSizeAnchor>
  <cdr:relSizeAnchor xmlns:cdr="http://schemas.openxmlformats.org/drawingml/2006/chartDrawing">
    <cdr:from>
      <cdr:x>0.83465</cdr:x>
      <cdr:y>0.27301</cdr:y>
    </cdr:from>
    <cdr:to>
      <cdr:x>0.99094</cdr:x>
      <cdr:y>0.31981</cdr:y>
    </cdr:to>
    <cdr:sp macro="" textlink="">
      <cdr:nvSpPr>
        <cdr:cNvPr id="4" name="TextBox 3"/>
        <cdr:cNvSpPr txBox="1"/>
      </cdr:nvSpPr>
      <cdr:spPr>
        <a:xfrm xmlns:a="http://schemas.openxmlformats.org/drawingml/2006/main">
          <a:off x="7237037" y="1718429"/>
          <a:ext cx="1355102" cy="294587"/>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2010-11</a:t>
          </a:r>
        </a:p>
      </cdr:txBody>
    </cdr:sp>
  </cdr:relSizeAnchor>
  <cdr:relSizeAnchor xmlns:cdr="http://schemas.openxmlformats.org/drawingml/2006/chartDrawing">
    <cdr:from>
      <cdr:x>0.83352</cdr:x>
      <cdr:y>0.33073</cdr:y>
    </cdr:from>
    <cdr:to>
      <cdr:x>0.99094</cdr:x>
      <cdr:y>0.37754</cdr:y>
    </cdr:to>
    <cdr:sp macro="" textlink="">
      <cdr:nvSpPr>
        <cdr:cNvPr id="5" name="TextBox 4"/>
        <cdr:cNvSpPr txBox="1"/>
      </cdr:nvSpPr>
      <cdr:spPr>
        <a:xfrm xmlns:a="http://schemas.openxmlformats.org/drawingml/2006/main">
          <a:off x="7227218" y="2081754"/>
          <a:ext cx="1364922" cy="294588"/>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2011-12</a:t>
          </a:r>
        </a:p>
        <a:p xmlns:a="http://schemas.openxmlformats.org/drawingml/2006/main">
          <a:endParaRPr lang="en-CA" sz="1100"/>
        </a:p>
      </cdr:txBody>
    </cdr:sp>
  </cdr:relSizeAnchor>
</c:userShapes>
</file>

<file path=xl/drawings/drawing17.xml><?xml version="1.0" encoding="utf-8"?>
<c:userShapes xmlns:c="http://schemas.openxmlformats.org/drawingml/2006/chart">
  <cdr:relSizeAnchor xmlns:cdr="http://schemas.openxmlformats.org/drawingml/2006/chartDrawing">
    <cdr:from>
      <cdr:x>0.73515</cdr:x>
      <cdr:y>0.24965</cdr:y>
    </cdr:from>
    <cdr:to>
      <cdr:x>0.83484</cdr:x>
      <cdr:y>0.28988</cdr:y>
    </cdr:to>
    <cdr:sp macro="" textlink="">
      <cdr:nvSpPr>
        <cdr:cNvPr id="2" name="TextBox 1"/>
        <cdr:cNvSpPr txBox="1"/>
      </cdr:nvSpPr>
      <cdr:spPr>
        <a:xfrm xmlns:a="http://schemas.openxmlformats.org/drawingml/2006/main">
          <a:off x="6379128" y="1572936"/>
          <a:ext cx="865115" cy="2534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0.78845</cdr:x>
      <cdr:y>0.22693</cdr:y>
    </cdr:from>
    <cdr:to>
      <cdr:x>0.91835</cdr:x>
      <cdr:y>0.26299</cdr:y>
    </cdr:to>
    <cdr:sp macro="" textlink="">
      <cdr:nvSpPr>
        <cdr:cNvPr id="3" name="TextBox 2"/>
        <cdr:cNvSpPr txBox="1"/>
      </cdr:nvSpPr>
      <cdr:spPr>
        <a:xfrm xmlns:a="http://schemas.openxmlformats.org/drawingml/2006/main">
          <a:off x="6841681" y="1429785"/>
          <a:ext cx="1127190" cy="227195"/>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US" sz="900" b="1">
              <a:solidFill>
                <a:schemeClr val="bg1"/>
              </a:solidFill>
            </a:rPr>
            <a:t>2005-06 to 2009-10</a:t>
          </a:r>
        </a:p>
      </cdr:txBody>
    </cdr:sp>
  </cdr:relSizeAnchor>
  <cdr:relSizeAnchor xmlns:cdr="http://schemas.openxmlformats.org/drawingml/2006/chartDrawing">
    <cdr:from>
      <cdr:x>0.78875</cdr:x>
      <cdr:y>0.2743</cdr:y>
    </cdr:from>
    <cdr:to>
      <cdr:x>0.92002</cdr:x>
      <cdr:y>0.31327</cdr:y>
    </cdr:to>
    <cdr:sp macro="" textlink="">
      <cdr:nvSpPr>
        <cdr:cNvPr id="4" name="TextBox 3"/>
        <cdr:cNvSpPr txBox="1"/>
      </cdr:nvSpPr>
      <cdr:spPr>
        <a:xfrm xmlns:a="http://schemas.openxmlformats.org/drawingml/2006/main">
          <a:off x="6844269" y="1728248"/>
          <a:ext cx="1139078" cy="245490"/>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US" sz="900" b="1"/>
            <a:t>2005-06 to 2010-11</a:t>
          </a:r>
        </a:p>
      </cdr:txBody>
    </cdr:sp>
  </cdr:relSizeAnchor>
  <cdr:relSizeAnchor xmlns:cdr="http://schemas.openxmlformats.org/drawingml/2006/chartDrawing">
    <cdr:from>
      <cdr:x>0.80459</cdr:x>
      <cdr:y>0.25092</cdr:y>
    </cdr:from>
    <cdr:to>
      <cdr:x>0.90757</cdr:x>
      <cdr:y>0.27274</cdr:y>
    </cdr:to>
    <cdr:sp macro="" textlink="">
      <cdr:nvSpPr>
        <cdr:cNvPr id="5" name="TextBox 4"/>
        <cdr:cNvSpPr txBox="1"/>
      </cdr:nvSpPr>
      <cdr:spPr>
        <a:xfrm xmlns:a="http://schemas.openxmlformats.org/drawingml/2006/main">
          <a:off x="6981716" y="1580932"/>
          <a:ext cx="893595" cy="1374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0.78988</cdr:x>
      <cdr:y>0.32574</cdr:y>
    </cdr:from>
    <cdr:to>
      <cdr:x>0.91775</cdr:x>
      <cdr:y>0.36782</cdr:y>
    </cdr:to>
    <cdr:sp macro="" textlink="">
      <cdr:nvSpPr>
        <cdr:cNvPr id="6" name="TextBox 5"/>
        <cdr:cNvSpPr txBox="1"/>
      </cdr:nvSpPr>
      <cdr:spPr>
        <a:xfrm xmlns:a="http://schemas.openxmlformats.org/drawingml/2006/main">
          <a:off x="6854075" y="2052294"/>
          <a:ext cx="1109574" cy="265129"/>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900"/>
            <a:t>2005-06 to 2011-12</a:t>
          </a:r>
        </a:p>
      </cdr:txBody>
    </cdr:sp>
  </cdr:relSizeAnchor>
</c:userShapes>
</file>

<file path=xl/drawings/drawing170.xml><?xml version="1.0" encoding="utf-8"?>
<xdr:wsDr xmlns:xdr="http://schemas.openxmlformats.org/drawingml/2006/spreadsheetDrawing" xmlns:a="http://schemas.openxmlformats.org/drawingml/2006/main">
  <xdr:absoluteAnchor>
    <xdr:pos x="26216" y="26215"/>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1.xml><?xml version="1.0" encoding="utf-8"?>
<c:userShapes xmlns:c="http://schemas.openxmlformats.org/drawingml/2006/chart">
  <cdr:relSizeAnchor xmlns:cdr="http://schemas.openxmlformats.org/drawingml/2006/chartDrawing">
    <cdr:from>
      <cdr:x>0.07654</cdr:x>
      <cdr:y>0.2233</cdr:y>
    </cdr:from>
    <cdr:to>
      <cdr:x>0.21954</cdr:x>
      <cdr:y>0.26352</cdr:y>
    </cdr:to>
    <cdr:sp macro="" textlink="">
      <cdr:nvSpPr>
        <cdr:cNvPr id="2" name="TextBox 1"/>
        <cdr:cNvSpPr txBox="1"/>
      </cdr:nvSpPr>
      <cdr:spPr>
        <a:xfrm xmlns:a="http://schemas.openxmlformats.org/drawingml/2006/main">
          <a:off x="664129" y="1406903"/>
          <a:ext cx="1240871" cy="253417"/>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US" sz="1000" b="1" baseline="0">
              <a:solidFill>
                <a:schemeClr val="bg1"/>
              </a:solidFill>
            </a:rPr>
            <a:t>2005-06 to 2009-10</a:t>
          </a:r>
        </a:p>
      </cdr:txBody>
    </cdr:sp>
  </cdr:relSizeAnchor>
  <cdr:relSizeAnchor xmlns:cdr="http://schemas.openxmlformats.org/drawingml/2006/chartDrawing">
    <cdr:from>
      <cdr:x>0.07654</cdr:x>
      <cdr:y>0.27184</cdr:y>
    </cdr:from>
    <cdr:to>
      <cdr:x>0.21752</cdr:x>
      <cdr:y>0.31484</cdr:y>
    </cdr:to>
    <cdr:sp macro="" textlink="">
      <cdr:nvSpPr>
        <cdr:cNvPr id="3" name="TextBox 2"/>
        <cdr:cNvSpPr txBox="1"/>
      </cdr:nvSpPr>
      <cdr:spPr>
        <a:xfrm xmlns:a="http://schemas.openxmlformats.org/drawingml/2006/main">
          <a:off x="664128" y="1712751"/>
          <a:ext cx="1223395" cy="270895"/>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US" sz="1000" b="1"/>
            <a:t>2005-06 to 2010-11</a:t>
          </a:r>
        </a:p>
      </cdr:txBody>
    </cdr:sp>
  </cdr:relSizeAnchor>
</c:userShapes>
</file>

<file path=xl/drawings/drawing172.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3.xml><?xml version="1.0" encoding="utf-8"?>
<c:userShapes xmlns:c="http://schemas.openxmlformats.org/drawingml/2006/chart">
  <cdr:relSizeAnchor xmlns:cdr="http://schemas.openxmlformats.org/drawingml/2006/chartDrawing">
    <cdr:from>
      <cdr:x>0.13703</cdr:x>
      <cdr:y>0.883</cdr:y>
    </cdr:from>
    <cdr:to>
      <cdr:x>0.2718</cdr:x>
      <cdr:y>0.92668</cdr:y>
    </cdr:to>
    <cdr:sp macro="" textlink="">
      <cdr:nvSpPr>
        <cdr:cNvPr id="2" name="TextBox 1"/>
        <cdr:cNvSpPr txBox="1"/>
      </cdr:nvSpPr>
      <cdr:spPr>
        <a:xfrm xmlns:a="http://schemas.openxmlformats.org/drawingml/2006/main">
          <a:off x="1188170" y="5557888"/>
          <a:ext cx="1168531" cy="274948"/>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IAD &amp; FN</a:t>
          </a:r>
          <a:r>
            <a:rPr lang="en-US" sz="1400" b="1" baseline="0">
              <a:latin typeface="+mn-lt"/>
              <a:ea typeface="+mn-ea"/>
              <a:cs typeface="+mn-cs"/>
            </a:rPr>
            <a:t> SA</a:t>
          </a:r>
          <a:endParaRPr lang="en-US" sz="14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0.43035</cdr:x>
      <cdr:y>0.66303</cdr:y>
    </cdr:from>
    <cdr:to>
      <cdr:x>0.5957</cdr:x>
      <cdr:y>0.80811</cdr:y>
    </cdr:to>
    <cdr:sp macro="" textlink="">
      <cdr:nvSpPr>
        <cdr:cNvPr id="3" name="TextBox 2"/>
        <cdr:cNvSpPr txBox="1"/>
      </cdr:nvSpPr>
      <cdr:spPr>
        <a:xfrm xmlns:a="http://schemas.openxmlformats.org/drawingml/2006/main">
          <a:off x="3731443" y="4173325"/>
          <a:ext cx="1433660" cy="913221"/>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0.74405</cdr:x>
      <cdr:y>0.63183</cdr:y>
    </cdr:from>
    <cdr:to>
      <cdr:x>0.91393</cdr:x>
      <cdr:y>0.86115</cdr:y>
    </cdr:to>
    <cdr:sp macro="" textlink="">
      <cdr:nvSpPr>
        <cdr:cNvPr id="4" name="TextBox 3"/>
        <cdr:cNvSpPr txBox="1"/>
      </cdr:nvSpPr>
      <cdr:spPr>
        <a:xfrm xmlns:a="http://schemas.openxmlformats.org/drawingml/2006/main">
          <a:off x="6451469" y="3976934"/>
          <a:ext cx="1472938" cy="1443478"/>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pPr algn="ctr"/>
          <a:r>
            <a:rPr lang="en-US" sz="1400" b="1">
              <a:latin typeface="+mn-lt"/>
              <a:ea typeface="+mn-ea"/>
              <a:cs typeface="+mn-cs"/>
            </a:rPr>
            <a:t> EXCL. </a:t>
          </a:r>
          <a:endParaRPr lang="en-US" sz="1400">
            <a:latin typeface="+mn-lt"/>
            <a:ea typeface="+mn-ea"/>
            <a:cs typeface="+mn-cs"/>
          </a:endParaRPr>
        </a:p>
        <a:p xmlns:a="http://schemas.openxmlformats.org/drawingml/2006/main">
          <a:pPr algn="ctr"/>
          <a:r>
            <a:rPr lang="en-US" sz="1400" b="1">
              <a:latin typeface="+mn-lt"/>
              <a:ea typeface="+mn-ea"/>
              <a:cs typeface="+mn-cs"/>
            </a:rPr>
            <a:t>IAD &amp; FIRST NATIONS SA</a:t>
          </a:r>
          <a:endParaRPr lang="en-US" sz="1400">
            <a:latin typeface="+mn-lt"/>
            <a:ea typeface="+mn-ea"/>
            <a:cs typeface="+mn-cs"/>
          </a:endParaRPr>
        </a:p>
        <a:p xmlns:a="http://schemas.openxmlformats.org/drawingml/2006/main">
          <a:pPr algn="ctr"/>
          <a:endParaRPr lang="en-CA" sz="1100"/>
        </a:p>
      </cdr:txBody>
    </cdr:sp>
  </cdr:relSizeAnchor>
</c:userShapes>
</file>

<file path=xl/drawings/drawing17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5.xml><?xml version="1.0" encoding="utf-8"?>
<c:userShapes xmlns:c="http://schemas.openxmlformats.org/drawingml/2006/chart">
  <cdr:relSizeAnchor xmlns:cdr="http://schemas.openxmlformats.org/drawingml/2006/chartDrawing">
    <cdr:from>
      <cdr:x>0.11782</cdr:x>
      <cdr:y>0.86963</cdr:y>
    </cdr:from>
    <cdr:to>
      <cdr:x>0.30111</cdr:x>
      <cdr:y>0.91817</cdr:y>
    </cdr:to>
    <cdr:sp macro="" textlink="">
      <cdr:nvSpPr>
        <cdr:cNvPr id="2" name="TextBox 1"/>
        <cdr:cNvSpPr txBox="1"/>
      </cdr:nvSpPr>
      <cdr:spPr>
        <a:xfrm xmlns:a="http://schemas.openxmlformats.org/drawingml/2006/main">
          <a:off x="1022408" y="5479060"/>
          <a:ext cx="1590413" cy="305848"/>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IAD &amp; FN</a:t>
          </a:r>
          <a:r>
            <a:rPr lang="en-US" sz="1400" b="1" baseline="0">
              <a:latin typeface="+mn-lt"/>
              <a:ea typeface="+mn-ea"/>
              <a:cs typeface="+mn-cs"/>
            </a:rPr>
            <a:t>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0.41692</cdr:x>
      <cdr:y>0.67633</cdr:y>
    </cdr:from>
    <cdr:to>
      <cdr:x>0.62638</cdr:x>
      <cdr:y>0.79886</cdr:y>
    </cdr:to>
    <cdr:sp macro="" textlink="">
      <cdr:nvSpPr>
        <cdr:cNvPr id="3" name="TextBox 2"/>
        <cdr:cNvSpPr txBox="1"/>
      </cdr:nvSpPr>
      <cdr:spPr>
        <a:xfrm xmlns:a="http://schemas.openxmlformats.org/drawingml/2006/main">
          <a:off x="3617766" y="4261183"/>
          <a:ext cx="1817560" cy="772027"/>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0.72508</cdr:x>
      <cdr:y>0.60631</cdr:y>
    </cdr:from>
    <cdr:to>
      <cdr:x>0.93555</cdr:x>
      <cdr:y>0.83705</cdr:y>
    </cdr:to>
    <cdr:sp macro="" textlink="">
      <cdr:nvSpPr>
        <cdr:cNvPr id="4" name="TextBox 3"/>
        <cdr:cNvSpPr txBox="1"/>
      </cdr:nvSpPr>
      <cdr:spPr>
        <a:xfrm xmlns:a="http://schemas.openxmlformats.org/drawingml/2006/main">
          <a:off x="6291782" y="3820025"/>
          <a:ext cx="1826324" cy="1453817"/>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pPr algn="ctr"/>
          <a:r>
            <a:rPr lang="en-US" sz="1400" b="1">
              <a:latin typeface="+mn-lt"/>
              <a:ea typeface="+mn-ea"/>
              <a:cs typeface="+mn-cs"/>
            </a:rPr>
            <a:t> EXCL. </a:t>
          </a:r>
          <a:endParaRPr lang="en-US" sz="1400">
            <a:latin typeface="+mn-lt"/>
            <a:ea typeface="+mn-ea"/>
            <a:cs typeface="+mn-cs"/>
          </a:endParaRPr>
        </a:p>
        <a:p xmlns:a="http://schemas.openxmlformats.org/drawingml/2006/main">
          <a:pPr algn="ctr"/>
          <a:r>
            <a:rPr lang="en-US" sz="1400" b="1">
              <a:latin typeface="+mn-lt"/>
              <a:ea typeface="+mn-ea"/>
              <a:cs typeface="+mn-cs"/>
            </a:rPr>
            <a:t>IAD &amp; FIRST NATIONS SA</a:t>
          </a:r>
          <a:endParaRPr lang="en-US" sz="1400">
            <a:latin typeface="+mn-lt"/>
            <a:ea typeface="+mn-ea"/>
            <a:cs typeface="+mn-cs"/>
          </a:endParaRPr>
        </a:p>
        <a:p xmlns:a="http://schemas.openxmlformats.org/drawingml/2006/main">
          <a:endParaRPr lang="en-US" sz="1100"/>
        </a:p>
        <a:p xmlns:a="http://schemas.openxmlformats.org/drawingml/2006/main">
          <a:endParaRPr lang="en-US" sz="1100"/>
        </a:p>
      </cdr:txBody>
    </cdr:sp>
  </cdr:relSizeAnchor>
</c:userShapes>
</file>

<file path=xl/drawings/drawing17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7.xml><?xml version="1.0" encoding="utf-8"?>
<c:userShapes xmlns:c="http://schemas.openxmlformats.org/drawingml/2006/chart">
  <cdr:relSizeAnchor xmlns:cdr="http://schemas.openxmlformats.org/drawingml/2006/chartDrawing">
    <cdr:from>
      <cdr:x>0.11656</cdr:x>
      <cdr:y>0.60627</cdr:y>
    </cdr:from>
    <cdr:to>
      <cdr:x>0.29875</cdr:x>
      <cdr:y>0.93201</cdr:y>
    </cdr:to>
    <cdr:sp macro="" textlink="">
      <cdr:nvSpPr>
        <cdr:cNvPr id="2" name="TextBox 1"/>
        <cdr:cNvSpPr txBox="1"/>
      </cdr:nvSpPr>
      <cdr:spPr>
        <a:xfrm xmlns:a="http://schemas.openxmlformats.org/drawingml/2006/main">
          <a:off x="1011433" y="3819821"/>
          <a:ext cx="1580929" cy="20522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a:t>
          </a:r>
          <a:r>
            <a:rPr lang="en-US" sz="1400" b="1" baseline="0">
              <a:latin typeface="+mn-lt"/>
              <a:ea typeface="+mn-ea"/>
              <a:cs typeface="+mn-cs"/>
            </a:rPr>
            <a:t> ASST. FOR PERSONS WITH DISABILITIES AND FIRST NATIONS SA</a:t>
          </a:r>
          <a:endParaRPr lang="en-US" sz="1100"/>
        </a:p>
      </cdr:txBody>
    </cdr:sp>
  </cdr:relSizeAnchor>
  <cdr:relSizeAnchor xmlns:cdr="http://schemas.openxmlformats.org/drawingml/2006/chartDrawing">
    <cdr:from>
      <cdr:x>0.42397</cdr:x>
      <cdr:y>0.52055</cdr:y>
    </cdr:from>
    <cdr:to>
      <cdr:x>0.62034</cdr:x>
      <cdr:y>0.75451</cdr:y>
    </cdr:to>
    <cdr:sp macro="" textlink="">
      <cdr:nvSpPr>
        <cdr:cNvPr id="3" name="TextBox 2"/>
        <cdr:cNvSpPr txBox="1"/>
      </cdr:nvSpPr>
      <cdr:spPr>
        <a:xfrm xmlns:a="http://schemas.openxmlformats.org/drawingml/2006/main">
          <a:off x="3678941" y="3279742"/>
          <a:ext cx="1703974" cy="1474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PERSONS WITH DISABILITIES</a:t>
          </a:r>
          <a:endParaRPr lang="en-US" sz="1400"/>
        </a:p>
      </cdr:txBody>
    </cdr:sp>
  </cdr:relSizeAnchor>
  <cdr:relSizeAnchor xmlns:cdr="http://schemas.openxmlformats.org/drawingml/2006/chartDrawing">
    <cdr:from>
      <cdr:x>0.7291</cdr:x>
      <cdr:y>0.44886</cdr:y>
    </cdr:from>
    <cdr:to>
      <cdr:x>0.92246</cdr:x>
      <cdr:y>0.87379</cdr:y>
    </cdr:to>
    <cdr:sp macro="" textlink="">
      <cdr:nvSpPr>
        <cdr:cNvPr id="4" name="TextBox 3"/>
        <cdr:cNvSpPr txBox="1"/>
      </cdr:nvSpPr>
      <cdr:spPr>
        <a:xfrm xmlns:a="http://schemas.openxmlformats.org/drawingml/2006/main">
          <a:off x="6326665" y="2828041"/>
          <a:ext cx="1677854" cy="26772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PERSONS WITH DISABILITIES</a:t>
          </a:r>
        </a:p>
        <a:p xmlns:a="http://schemas.openxmlformats.org/drawingml/2006/main">
          <a:pPr algn="ctr"/>
          <a:r>
            <a:rPr lang="en-US" sz="1400" b="1">
              <a:latin typeface="+mn-lt"/>
              <a:ea typeface="+mn-ea"/>
              <a:cs typeface="+mn-cs"/>
            </a:rPr>
            <a:t> EXCL. </a:t>
          </a:r>
          <a:endParaRPr lang="en-US" sz="1400"/>
        </a:p>
        <a:p xmlns:a="http://schemas.openxmlformats.org/drawingml/2006/main">
          <a:pPr algn="ctr"/>
          <a:r>
            <a:rPr lang="en-US" sz="1400" b="1">
              <a:latin typeface="+mn-lt"/>
              <a:ea typeface="+mn-ea"/>
              <a:cs typeface="+mn-cs"/>
            </a:rPr>
            <a:t>IAD &amp; FIRST NATIONS SA</a:t>
          </a:r>
          <a:endParaRPr lang="en-US" sz="1400"/>
        </a:p>
        <a:p xmlns:a="http://schemas.openxmlformats.org/drawingml/2006/main">
          <a:pPr algn="ctr"/>
          <a:endParaRPr lang="en-US" sz="1400"/>
        </a:p>
      </cdr:txBody>
    </cdr:sp>
  </cdr:relSizeAnchor>
</c:userShapes>
</file>

<file path=xl/drawings/drawing17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9.xml><?xml version="1.0" encoding="utf-8"?>
<c:userShapes xmlns:c="http://schemas.openxmlformats.org/drawingml/2006/chart">
  <cdr:relSizeAnchor xmlns:cdr="http://schemas.openxmlformats.org/drawingml/2006/chartDrawing">
    <cdr:from>
      <cdr:x>0.12085</cdr:x>
      <cdr:y>0.91262</cdr:y>
    </cdr:from>
    <cdr:to>
      <cdr:x>0.28802</cdr:x>
      <cdr:y>0.98474</cdr:y>
    </cdr:to>
    <cdr:sp macro="" textlink="">
      <cdr:nvSpPr>
        <cdr:cNvPr id="2" name="TextBox 1"/>
        <cdr:cNvSpPr txBox="1"/>
      </cdr:nvSpPr>
      <cdr:spPr>
        <a:xfrm xmlns:a="http://schemas.openxmlformats.org/drawingml/2006/main">
          <a:off x="1048659" y="5749954"/>
          <a:ext cx="1450595" cy="454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IAD &amp; FN</a:t>
          </a:r>
          <a:r>
            <a:rPr lang="en-US" sz="1400" b="1" baseline="0"/>
            <a:t> SA</a:t>
          </a:r>
          <a:endParaRPr lang="en-US" sz="1400" b="1"/>
        </a:p>
      </cdr:txBody>
    </cdr:sp>
  </cdr:relSizeAnchor>
  <cdr:relSizeAnchor xmlns:cdr="http://schemas.openxmlformats.org/drawingml/2006/chartDrawing">
    <cdr:from>
      <cdr:x>0.42397</cdr:x>
      <cdr:y>0.60333</cdr:y>
    </cdr:from>
    <cdr:to>
      <cdr:x>0.61631</cdr:x>
      <cdr:y>0.75312</cdr:y>
    </cdr:to>
    <cdr:sp macro="" textlink="">
      <cdr:nvSpPr>
        <cdr:cNvPr id="3" name="TextBox 2"/>
        <cdr:cNvSpPr txBox="1"/>
      </cdr:nvSpPr>
      <cdr:spPr>
        <a:xfrm xmlns:a="http://schemas.openxmlformats.org/drawingml/2006/main">
          <a:off x="3678922" y="3801261"/>
          <a:ext cx="1669060" cy="9437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a:t>
          </a:r>
        </a:p>
      </cdr:txBody>
    </cdr:sp>
  </cdr:relSizeAnchor>
  <cdr:relSizeAnchor xmlns:cdr="http://schemas.openxmlformats.org/drawingml/2006/chartDrawing">
    <cdr:from>
      <cdr:x>0.73716</cdr:x>
      <cdr:y>0.51318</cdr:y>
    </cdr:from>
    <cdr:to>
      <cdr:x>0.92447</cdr:x>
      <cdr:y>0.76699</cdr:y>
    </cdr:to>
    <cdr:sp macro="" textlink="">
      <cdr:nvSpPr>
        <cdr:cNvPr id="4" name="TextBox 3"/>
        <cdr:cNvSpPr txBox="1"/>
      </cdr:nvSpPr>
      <cdr:spPr>
        <a:xfrm xmlns:a="http://schemas.openxmlformats.org/drawingml/2006/main">
          <a:off x="6396604" y="3233280"/>
          <a:ext cx="1625357" cy="1599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a:t>
          </a:r>
        </a:p>
        <a:p xmlns:a="http://schemas.openxmlformats.org/drawingml/2006/main">
          <a:pPr algn="ctr"/>
          <a:r>
            <a:rPr lang="en-US" sz="1400" b="1"/>
            <a:t> EXCL. </a:t>
          </a:r>
        </a:p>
        <a:p xmlns:a="http://schemas.openxmlformats.org/drawingml/2006/main">
          <a:pPr algn="ctr"/>
          <a:r>
            <a:rPr lang="en-US" sz="1400" b="1"/>
            <a:t>IAD &amp; FIRST NATIONS SA</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0.xml><?xml version="1.0" encoding="utf-8"?>
<xdr:wsDr xmlns:xdr="http://schemas.openxmlformats.org/drawingml/2006/spreadsheetDrawing" xmlns:a="http://schemas.openxmlformats.org/drawingml/2006/main">
  <xdr:absoluteAnchor>
    <xdr:pos x="19639"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1.xml><?xml version="1.0" encoding="utf-8"?>
<xdr:wsDr xmlns:xdr="http://schemas.openxmlformats.org/drawingml/2006/spreadsheetDrawing" xmlns:a="http://schemas.openxmlformats.org/drawingml/2006/main">
  <xdr:absoluteAnchor>
    <xdr:pos x="19639"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2.xml><?xml version="1.0" encoding="utf-8"?>
<xdr:wsDr xmlns:xdr="http://schemas.openxmlformats.org/drawingml/2006/spreadsheetDrawing" xmlns:a="http://schemas.openxmlformats.org/drawingml/2006/main">
  <xdr:absoluteAnchor>
    <xdr:pos x="19639"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3.xml><?xml version="1.0" encoding="utf-8"?>
<xdr:wsDr xmlns:xdr="http://schemas.openxmlformats.org/drawingml/2006/spreadsheetDrawing" xmlns:a="http://schemas.openxmlformats.org/drawingml/2006/main">
  <xdr:absoluteAnchor>
    <xdr:pos x="-26216" y="26215"/>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5.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8.xml><?xml version="1.0" encoding="utf-8"?>
<c:userShapes xmlns:c="http://schemas.openxmlformats.org/drawingml/2006/chart">
  <cdr:relSizeAnchor xmlns:cdr="http://schemas.openxmlformats.org/drawingml/2006/chartDrawing">
    <cdr:from>
      <cdr:x>0.7797</cdr:x>
      <cdr:y>0.20105</cdr:y>
    </cdr:from>
    <cdr:to>
      <cdr:x>0.94944</cdr:x>
      <cdr:y>0.24157</cdr:y>
    </cdr:to>
    <cdr:sp macro="" textlink="">
      <cdr:nvSpPr>
        <cdr:cNvPr id="2" name="TextBox 1"/>
        <cdr:cNvSpPr txBox="1"/>
      </cdr:nvSpPr>
      <cdr:spPr>
        <a:xfrm xmlns:a="http://schemas.openxmlformats.org/drawingml/2006/main">
          <a:off x="6765696" y="1266727"/>
          <a:ext cx="1472938" cy="255309"/>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CA" sz="1100" b="1" i="1"/>
            <a:t>Revised</a:t>
          </a:r>
          <a:r>
            <a:rPr lang="en-CA" sz="1100" b="1" i="1" baseline="0"/>
            <a:t> October 2012</a:t>
          </a:r>
          <a:endParaRPr lang="en-CA" sz="1100" b="1" i="1"/>
        </a:p>
      </cdr:txBody>
    </cdr:sp>
  </cdr:relSizeAnchor>
</c:userShapes>
</file>

<file path=xl/drawings/drawing189.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0.1289</cdr:x>
      <cdr:y>0.56033</cdr:y>
    </cdr:from>
    <cdr:to>
      <cdr:x>0.32528</cdr:x>
      <cdr:y>0.74827</cdr:y>
    </cdr:to>
    <cdr:sp macro="" textlink="">
      <cdr:nvSpPr>
        <cdr:cNvPr id="2" name="TextBox 1"/>
        <cdr:cNvSpPr txBox="1"/>
      </cdr:nvSpPr>
      <cdr:spPr>
        <a:xfrm xmlns:a="http://schemas.openxmlformats.org/drawingml/2006/main">
          <a:off x="1118512" y="3530349"/>
          <a:ext cx="1704060" cy="1184135"/>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SA</a:t>
          </a:r>
          <a:r>
            <a:rPr lang="en-US" sz="1400" b="1" baseline="0">
              <a:latin typeface="+mn-lt"/>
              <a:ea typeface="+mn-ea"/>
              <a:cs typeface="+mn-cs"/>
            </a:rPr>
            <a:t> FOR THE DISABLED</a:t>
          </a:r>
          <a:endParaRPr lang="en-US" sz="1400" b="1">
            <a:latin typeface="+mn-lt"/>
            <a:ea typeface="+mn-ea"/>
            <a:cs typeface="+mn-cs"/>
          </a:endParaRPr>
        </a:p>
        <a:p xmlns:a="http://schemas.openxmlformats.org/drawingml/2006/main">
          <a:pPr algn="ctr"/>
          <a:r>
            <a:rPr lang="en-US" sz="1200" b="1" baseline="0">
              <a:latin typeface="+mn-lt"/>
              <a:ea typeface="+mn-ea"/>
              <a:cs typeface="+mn-cs"/>
            </a:rPr>
            <a:t>(Incl. First </a:t>
          </a:r>
          <a:endParaRPr lang="en-US" sz="1200" b="1">
            <a:latin typeface="+mn-lt"/>
            <a:ea typeface="+mn-ea"/>
            <a:cs typeface="+mn-cs"/>
          </a:endParaRPr>
        </a:p>
        <a:p xmlns:a="http://schemas.openxmlformats.org/drawingml/2006/main">
          <a:pPr algn="ctr"/>
          <a:r>
            <a:rPr lang="en-US" sz="1200" b="1" baseline="0">
              <a:latin typeface="+mn-lt"/>
              <a:ea typeface="+mn-ea"/>
              <a:cs typeface="+mn-cs"/>
            </a:rPr>
            <a:t>Nations SA </a:t>
          </a:r>
          <a:endParaRPr lang="en-US" sz="1200" b="1">
            <a:latin typeface="+mn-lt"/>
            <a:ea typeface="+mn-ea"/>
            <a:cs typeface="+mn-cs"/>
          </a:endParaRPr>
        </a:p>
        <a:p xmlns:a="http://schemas.openxmlformats.org/drawingml/2006/main">
          <a:pPr algn="ctr"/>
          <a:r>
            <a:rPr lang="en-US" sz="1200" b="1" baseline="0">
              <a:latin typeface="+mn-lt"/>
              <a:ea typeface="+mn-ea"/>
              <a:cs typeface="+mn-cs"/>
            </a:rPr>
            <a:t>&amp; AISH)</a:t>
          </a:r>
          <a:endParaRPr lang="en-US" sz="1200" b="1">
            <a:latin typeface="+mn-lt"/>
            <a:ea typeface="+mn-ea"/>
            <a:cs typeface="+mn-cs"/>
          </a:endParaRPr>
        </a:p>
        <a:p xmlns:a="http://schemas.openxmlformats.org/drawingml/2006/main">
          <a:endParaRPr lang="en-US" sz="1100">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0.43102</cdr:x>
      <cdr:y>0.65326</cdr:y>
    </cdr:from>
    <cdr:to>
      <cdr:x>0.63746</cdr:x>
      <cdr:y>0.78502</cdr:y>
    </cdr:to>
    <cdr:sp macro="" textlink="">
      <cdr:nvSpPr>
        <cdr:cNvPr id="3" name="TextBox 2"/>
        <cdr:cNvSpPr txBox="1"/>
      </cdr:nvSpPr>
      <cdr:spPr>
        <a:xfrm xmlns:a="http://schemas.openxmlformats.org/drawingml/2006/main">
          <a:off x="3740090" y="4115849"/>
          <a:ext cx="1791399" cy="830161"/>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0.73917</cdr:x>
      <cdr:y>0.67129</cdr:y>
    </cdr:from>
    <cdr:to>
      <cdr:x>0.9426</cdr:x>
      <cdr:y>0.8086</cdr:y>
    </cdr:to>
    <cdr:sp macro="" textlink="">
      <cdr:nvSpPr>
        <cdr:cNvPr id="4" name="TextBox 3"/>
        <cdr:cNvSpPr txBox="1"/>
      </cdr:nvSpPr>
      <cdr:spPr>
        <a:xfrm xmlns:a="http://schemas.openxmlformats.org/drawingml/2006/main">
          <a:off x="6414081" y="4229450"/>
          <a:ext cx="1765185" cy="865115"/>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 EXCL.</a:t>
          </a:r>
          <a:r>
            <a:rPr lang="en-US" sz="1400" b="1" baseline="0">
              <a:latin typeface="+mn-lt"/>
              <a:ea typeface="+mn-ea"/>
              <a:cs typeface="+mn-cs"/>
            </a:rPr>
            <a:t> SA</a:t>
          </a:r>
          <a:endParaRPr lang="en-US" sz="1400">
            <a:latin typeface="+mn-lt"/>
            <a:ea typeface="+mn-ea"/>
            <a:cs typeface="+mn-cs"/>
          </a:endParaRPr>
        </a:p>
        <a:p xmlns:a="http://schemas.openxmlformats.org/drawingml/2006/main">
          <a:endParaRPr lang="en-US" sz="1100"/>
        </a:p>
      </cdr:txBody>
    </cdr:sp>
  </cdr:relSizeAnchor>
</c:userShapes>
</file>

<file path=xl/drawings/drawing190.xml><?xml version="1.0" encoding="utf-8"?>
<c:userShapes xmlns:c="http://schemas.openxmlformats.org/drawingml/2006/chart">
  <cdr:relSizeAnchor xmlns:cdr="http://schemas.openxmlformats.org/drawingml/2006/chartDrawing">
    <cdr:from>
      <cdr:x>0.72367</cdr:x>
      <cdr:y>0.22777</cdr:y>
    </cdr:from>
    <cdr:to>
      <cdr:x>0.88222</cdr:x>
      <cdr:y>0.26833</cdr:y>
    </cdr:to>
    <cdr:sp macro="" textlink="">
      <cdr:nvSpPr>
        <cdr:cNvPr id="2" name="TextBox 1"/>
        <cdr:cNvSpPr txBox="1"/>
      </cdr:nvSpPr>
      <cdr:spPr>
        <a:xfrm xmlns:a="http://schemas.openxmlformats.org/drawingml/2006/main">
          <a:off x="6274717" y="1433660"/>
          <a:ext cx="1374742" cy="255309"/>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CA" sz="1100" b="1">
              <a:solidFill>
                <a:schemeClr val="bg1"/>
              </a:solidFill>
            </a:rPr>
            <a:t>2005-06 to 2009-10</a:t>
          </a:r>
        </a:p>
      </cdr:txBody>
    </cdr:sp>
  </cdr:relSizeAnchor>
  <cdr:relSizeAnchor xmlns:cdr="http://schemas.openxmlformats.org/drawingml/2006/chartDrawing">
    <cdr:from>
      <cdr:x>0.72254</cdr:x>
      <cdr:y>0.27769</cdr:y>
    </cdr:from>
    <cdr:to>
      <cdr:x>0.87995</cdr:x>
      <cdr:y>0.32293</cdr:y>
    </cdr:to>
    <cdr:sp macro="" textlink="">
      <cdr:nvSpPr>
        <cdr:cNvPr id="3" name="TextBox 2"/>
        <cdr:cNvSpPr txBox="1"/>
      </cdr:nvSpPr>
      <cdr:spPr>
        <a:xfrm xmlns:a="http://schemas.openxmlformats.org/drawingml/2006/main">
          <a:off x="6264897" y="1747887"/>
          <a:ext cx="1364923" cy="284768"/>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2010-11</a:t>
          </a:r>
        </a:p>
        <a:p xmlns:a="http://schemas.openxmlformats.org/drawingml/2006/main">
          <a:endParaRPr lang="en-CA" sz="1100"/>
        </a:p>
      </cdr:txBody>
    </cdr:sp>
  </cdr:relSizeAnchor>
  <cdr:relSizeAnchor xmlns:cdr="http://schemas.openxmlformats.org/drawingml/2006/chartDrawing">
    <cdr:from>
      <cdr:x>0.72027</cdr:x>
      <cdr:y>0.33697</cdr:y>
    </cdr:from>
    <cdr:to>
      <cdr:x>0.87656</cdr:x>
      <cdr:y>0.38222</cdr:y>
    </cdr:to>
    <cdr:sp macro="" textlink="">
      <cdr:nvSpPr>
        <cdr:cNvPr id="4" name="TextBox 3"/>
        <cdr:cNvSpPr txBox="1"/>
      </cdr:nvSpPr>
      <cdr:spPr>
        <a:xfrm xmlns:a="http://schemas.openxmlformats.org/drawingml/2006/main">
          <a:off x="6245258" y="2121032"/>
          <a:ext cx="1355103" cy="284768"/>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2011-12</a:t>
          </a:r>
        </a:p>
        <a:p xmlns:a="http://schemas.openxmlformats.org/drawingml/2006/main">
          <a:endParaRPr lang="en-CA" sz="1100"/>
        </a:p>
      </cdr:txBody>
    </cdr:sp>
  </cdr:relSizeAnchor>
</c:userShapes>
</file>

<file path=xl/drawings/drawing19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2.xml><?xml version="1.0" encoding="utf-8"?>
<c:userShapes xmlns:c="http://schemas.openxmlformats.org/drawingml/2006/chart">
  <cdr:relSizeAnchor xmlns:cdr="http://schemas.openxmlformats.org/drawingml/2006/chartDrawing">
    <cdr:from>
      <cdr:x>0.06344</cdr:x>
      <cdr:y>0.22469</cdr:y>
    </cdr:from>
    <cdr:to>
      <cdr:x>0.20846</cdr:x>
      <cdr:y>0.26075</cdr:y>
    </cdr:to>
    <cdr:sp macro="" textlink="">
      <cdr:nvSpPr>
        <cdr:cNvPr id="2" name="TextBox 1"/>
        <cdr:cNvSpPr txBox="1"/>
      </cdr:nvSpPr>
      <cdr:spPr>
        <a:xfrm xmlns:a="http://schemas.openxmlformats.org/drawingml/2006/main">
          <a:off x="550528" y="1415642"/>
          <a:ext cx="1258348" cy="227202"/>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US" sz="1000" b="1" baseline="0">
              <a:solidFill>
                <a:schemeClr val="bg1"/>
              </a:solidFill>
            </a:rPr>
            <a:t>2005-06 to 2009-10</a:t>
          </a:r>
        </a:p>
      </cdr:txBody>
    </cdr:sp>
  </cdr:relSizeAnchor>
  <cdr:relSizeAnchor xmlns:cdr="http://schemas.openxmlformats.org/drawingml/2006/chartDrawing">
    <cdr:from>
      <cdr:x>0.06445</cdr:x>
      <cdr:y>0.27601</cdr:y>
    </cdr:from>
    <cdr:to>
      <cdr:x>0.20745</cdr:x>
      <cdr:y>0.31345</cdr:y>
    </cdr:to>
    <cdr:sp macro="" textlink="">
      <cdr:nvSpPr>
        <cdr:cNvPr id="3" name="TextBox 2"/>
        <cdr:cNvSpPr txBox="1"/>
      </cdr:nvSpPr>
      <cdr:spPr>
        <a:xfrm xmlns:a="http://schemas.openxmlformats.org/drawingml/2006/main">
          <a:off x="559266" y="1738968"/>
          <a:ext cx="1240872" cy="235940"/>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US" sz="1000" b="1"/>
            <a:t>2005-06</a:t>
          </a:r>
          <a:r>
            <a:rPr lang="en-US" sz="1000" b="1" baseline="0"/>
            <a:t> to 2010-11</a:t>
          </a:r>
          <a:endParaRPr lang="en-US" sz="1000" b="1"/>
        </a:p>
      </cdr:txBody>
    </cdr:sp>
  </cdr:relSizeAnchor>
</c:userShapes>
</file>

<file path=xl/drawings/drawing193.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4.xml><?xml version="1.0" encoding="utf-8"?>
<c:userShapes xmlns:c="http://schemas.openxmlformats.org/drawingml/2006/chart">
  <cdr:relSizeAnchor xmlns:cdr="http://schemas.openxmlformats.org/drawingml/2006/chartDrawing">
    <cdr:from>
      <cdr:x>0.09966</cdr:x>
      <cdr:y>0.71607</cdr:y>
    </cdr:from>
    <cdr:to>
      <cdr:x>0.30578</cdr:x>
      <cdr:y>0.8752</cdr:y>
    </cdr:to>
    <cdr:sp macro="" textlink="">
      <cdr:nvSpPr>
        <cdr:cNvPr id="2" name="TextBox 1"/>
        <cdr:cNvSpPr txBox="1"/>
      </cdr:nvSpPr>
      <cdr:spPr>
        <a:xfrm xmlns:a="http://schemas.openxmlformats.org/drawingml/2006/main">
          <a:off x="864122" y="4507191"/>
          <a:ext cx="1787203" cy="1001629"/>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a:t>
          </a:r>
          <a:r>
            <a:rPr lang="en-US" sz="1400" b="1" baseline="0">
              <a:latin typeface="+mn-lt"/>
              <a:ea typeface="+mn-ea"/>
              <a:cs typeface="+mn-cs"/>
            </a:rPr>
            <a:t> ASSISTANCE FOR THE DISABLED (IAD) &amp; FIRST NATIONS SA</a:t>
          </a:r>
          <a:endParaRPr lang="en-US" sz="14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0.41903</cdr:x>
      <cdr:y>0.64743</cdr:y>
    </cdr:from>
    <cdr:to>
      <cdr:x>0.61268</cdr:x>
      <cdr:y>0.82527</cdr:y>
    </cdr:to>
    <cdr:sp macro="" textlink="">
      <cdr:nvSpPr>
        <cdr:cNvPr id="3" name="TextBox 2"/>
        <cdr:cNvSpPr txBox="1"/>
      </cdr:nvSpPr>
      <cdr:spPr>
        <a:xfrm xmlns:a="http://schemas.openxmlformats.org/drawingml/2006/main">
          <a:off x="3633247" y="4075129"/>
          <a:ext cx="1679150" cy="1119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0.7316</cdr:x>
      <cdr:y>0.62403</cdr:y>
    </cdr:from>
    <cdr:to>
      <cdr:x>0.92299</cdr:x>
      <cdr:y>0.84711</cdr:y>
    </cdr:to>
    <cdr:sp macro="" textlink="">
      <cdr:nvSpPr>
        <cdr:cNvPr id="4" name="TextBox 3"/>
        <cdr:cNvSpPr txBox="1"/>
      </cdr:nvSpPr>
      <cdr:spPr>
        <a:xfrm xmlns:a="http://schemas.openxmlformats.org/drawingml/2006/main">
          <a:off x="6343454" y="3927836"/>
          <a:ext cx="1659510" cy="1404200"/>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pPr algn="ctr"/>
          <a:r>
            <a:rPr lang="en-US" sz="1400" b="1">
              <a:latin typeface="+mn-lt"/>
              <a:ea typeface="+mn-ea"/>
              <a:cs typeface="+mn-cs"/>
            </a:rPr>
            <a:t> EXCL. </a:t>
          </a:r>
          <a:endParaRPr lang="en-US" sz="1400">
            <a:latin typeface="+mn-lt"/>
            <a:ea typeface="+mn-ea"/>
            <a:cs typeface="+mn-cs"/>
          </a:endParaRPr>
        </a:p>
        <a:p xmlns:a="http://schemas.openxmlformats.org/drawingml/2006/main">
          <a:pPr algn="ctr"/>
          <a:r>
            <a:rPr lang="en-US" sz="1400" b="1">
              <a:latin typeface="+mn-lt"/>
              <a:ea typeface="+mn-ea"/>
              <a:cs typeface="+mn-cs"/>
            </a:rPr>
            <a:t>IAD &amp; FIRST</a:t>
          </a:r>
          <a:r>
            <a:rPr lang="en-US" sz="1400" b="1" baseline="0">
              <a:latin typeface="+mn-lt"/>
              <a:ea typeface="+mn-ea"/>
              <a:cs typeface="+mn-cs"/>
            </a:rPr>
            <a:t> NATIONS SA</a:t>
          </a:r>
          <a:endParaRPr lang="en-US" sz="1400" b="1">
            <a:latin typeface="+mn-lt"/>
            <a:ea typeface="+mn-ea"/>
            <a:cs typeface="+mn-cs"/>
          </a:endParaRPr>
        </a:p>
        <a:p xmlns:a="http://schemas.openxmlformats.org/drawingml/2006/main">
          <a:pPr algn="ctr"/>
          <a:endParaRPr lang="en-CA" sz="1100"/>
        </a:p>
      </cdr:txBody>
    </cdr:sp>
  </cdr:relSizeAnchor>
  <cdr:relSizeAnchor xmlns:cdr="http://schemas.openxmlformats.org/drawingml/2006/chartDrawing">
    <cdr:from>
      <cdr:x>0.42016</cdr:x>
      <cdr:y>0.63651</cdr:y>
    </cdr:from>
    <cdr:to>
      <cdr:x>0.60815</cdr:x>
      <cdr:y>0.76755</cdr:y>
    </cdr:to>
    <cdr:sp macro="" textlink="">
      <cdr:nvSpPr>
        <cdr:cNvPr id="5" name="TextBox 4"/>
        <cdr:cNvSpPr txBox="1"/>
      </cdr:nvSpPr>
      <cdr:spPr>
        <a:xfrm xmlns:a="http://schemas.openxmlformats.org/drawingml/2006/main">
          <a:off x="3643067" y="4006391"/>
          <a:ext cx="1630052" cy="824845"/>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p>
        <a:p xmlns:a="http://schemas.openxmlformats.org/drawingml/2006/main">
          <a:endParaRPr lang="en-CA" sz="1100"/>
        </a:p>
      </cdr:txBody>
    </cdr:sp>
  </cdr:relSizeAnchor>
</c:userShapes>
</file>

<file path=xl/drawings/drawing195.xml><?xml version="1.0" encoding="utf-8"?>
<xdr:wsDr xmlns:xdr="http://schemas.openxmlformats.org/drawingml/2006/spreadsheetDrawing" xmlns:a="http://schemas.openxmlformats.org/drawingml/2006/main">
  <xdr:absoluteAnchor>
    <xdr:pos x="26215" y="8738"/>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6.xml><?xml version="1.0" encoding="utf-8"?>
<c:userShapes xmlns:c="http://schemas.openxmlformats.org/drawingml/2006/chart">
  <cdr:relSizeAnchor xmlns:cdr="http://schemas.openxmlformats.org/drawingml/2006/chartDrawing">
    <cdr:from>
      <cdr:x>0.10272</cdr:x>
      <cdr:y>0.64771</cdr:y>
    </cdr:from>
    <cdr:to>
      <cdr:x>0.30111</cdr:x>
      <cdr:y>0.81276</cdr:y>
    </cdr:to>
    <cdr:sp macro="" textlink="">
      <cdr:nvSpPr>
        <cdr:cNvPr id="2" name="TextBox 1"/>
        <cdr:cNvSpPr txBox="1"/>
      </cdr:nvSpPr>
      <cdr:spPr>
        <a:xfrm xmlns:a="http://schemas.openxmlformats.org/drawingml/2006/main">
          <a:off x="891330" y="4080895"/>
          <a:ext cx="1721491" cy="103988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a:t>
          </a:r>
          <a:r>
            <a:rPr lang="en-US" sz="1400" b="1" baseline="0">
              <a:latin typeface="+mn-lt"/>
              <a:ea typeface="+mn-ea"/>
              <a:cs typeface="+mn-cs"/>
            </a:rPr>
            <a:t> ASSISTANCE FOR THE DISABLED (IAD) &amp; FIRST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0.42195</cdr:x>
      <cdr:y>0.60749</cdr:y>
    </cdr:from>
    <cdr:to>
      <cdr:x>0.60322</cdr:x>
      <cdr:y>0.73232</cdr:y>
    </cdr:to>
    <cdr:sp macro="" textlink="">
      <cdr:nvSpPr>
        <cdr:cNvPr id="3" name="TextBox 2"/>
        <cdr:cNvSpPr txBox="1"/>
      </cdr:nvSpPr>
      <cdr:spPr>
        <a:xfrm xmlns:a="http://schemas.openxmlformats.org/drawingml/2006/main">
          <a:off x="3661445" y="3827477"/>
          <a:ext cx="1572936" cy="786468"/>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0.73212</cdr:x>
      <cdr:y>0.5742</cdr:y>
    </cdr:from>
    <cdr:to>
      <cdr:x>0.91944</cdr:x>
      <cdr:y>0.80721</cdr:y>
    </cdr:to>
    <cdr:sp macro="" textlink="">
      <cdr:nvSpPr>
        <cdr:cNvPr id="4" name="TextBox 3"/>
        <cdr:cNvSpPr txBox="1"/>
      </cdr:nvSpPr>
      <cdr:spPr>
        <a:xfrm xmlns:a="http://schemas.openxmlformats.org/drawingml/2006/main">
          <a:off x="6352913" y="3617752"/>
          <a:ext cx="1625367" cy="1468074"/>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pPr algn="ctr"/>
          <a:r>
            <a:rPr lang="en-US" sz="1400" b="1">
              <a:latin typeface="+mn-lt"/>
              <a:ea typeface="+mn-ea"/>
              <a:cs typeface="+mn-cs"/>
            </a:rPr>
            <a:t> EXCL. </a:t>
          </a:r>
          <a:endParaRPr lang="en-US" sz="1400">
            <a:latin typeface="+mn-lt"/>
            <a:ea typeface="+mn-ea"/>
            <a:cs typeface="+mn-cs"/>
          </a:endParaRPr>
        </a:p>
        <a:p xmlns:a="http://schemas.openxmlformats.org/drawingml/2006/main">
          <a:pPr algn="ctr"/>
          <a:r>
            <a:rPr lang="en-US" sz="1400" b="1">
              <a:latin typeface="+mn-lt"/>
              <a:ea typeface="+mn-ea"/>
              <a:cs typeface="+mn-cs"/>
            </a:rPr>
            <a:t>IAD &amp; FIRST</a:t>
          </a:r>
          <a:r>
            <a:rPr lang="en-US" sz="1400" b="1" baseline="0">
              <a:latin typeface="+mn-lt"/>
              <a:ea typeface="+mn-ea"/>
              <a:cs typeface="+mn-cs"/>
            </a:rPr>
            <a:t> NATIONS SA</a:t>
          </a:r>
          <a:endParaRPr lang="en-US" sz="1400" b="1">
            <a:latin typeface="+mn-lt"/>
            <a:ea typeface="+mn-ea"/>
            <a:cs typeface="+mn-cs"/>
          </a:endParaRPr>
        </a:p>
        <a:p xmlns:a="http://schemas.openxmlformats.org/drawingml/2006/main">
          <a:endParaRPr lang="en-US" sz="1100"/>
        </a:p>
      </cdr:txBody>
    </cdr:sp>
  </cdr:relSizeAnchor>
</c:userShapes>
</file>

<file path=xl/drawings/drawing19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8.xml><?xml version="1.0" encoding="utf-8"?>
<c:userShapes xmlns:c="http://schemas.openxmlformats.org/drawingml/2006/chart">
  <cdr:relSizeAnchor xmlns:cdr="http://schemas.openxmlformats.org/drawingml/2006/chartDrawing">
    <cdr:from>
      <cdr:x>0.12561</cdr:x>
      <cdr:y>0.64494</cdr:y>
    </cdr:from>
    <cdr:to>
      <cdr:x>0.31233</cdr:x>
      <cdr:y>0.88993</cdr:y>
    </cdr:to>
    <cdr:sp macro="" textlink="">
      <cdr:nvSpPr>
        <cdr:cNvPr id="2" name="TextBox 1"/>
        <cdr:cNvSpPr txBox="1"/>
      </cdr:nvSpPr>
      <cdr:spPr>
        <a:xfrm xmlns:a="http://schemas.openxmlformats.org/drawingml/2006/main">
          <a:off x="1089974" y="4063433"/>
          <a:ext cx="1620231" cy="15435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a:t>
          </a:r>
          <a:r>
            <a:rPr lang="en-US" sz="1400" b="1" baseline="0">
              <a:latin typeface="+mn-lt"/>
              <a:ea typeface="+mn-ea"/>
              <a:cs typeface="+mn-cs"/>
            </a:rPr>
            <a:t> ASSISTANCE FOR PERSONS WITH DISABILITIES (IAD) &amp; FIRST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0.43568</cdr:x>
      <cdr:y>0.50347</cdr:y>
    </cdr:from>
    <cdr:to>
      <cdr:x>0.6224</cdr:x>
      <cdr:y>0.78502</cdr:y>
    </cdr:to>
    <cdr:sp macro="" textlink="">
      <cdr:nvSpPr>
        <cdr:cNvPr id="3" name="TextBox 2"/>
        <cdr:cNvSpPr txBox="1"/>
      </cdr:nvSpPr>
      <cdr:spPr>
        <a:xfrm xmlns:a="http://schemas.openxmlformats.org/drawingml/2006/main">
          <a:off x="3780541" y="3172104"/>
          <a:ext cx="1620232" cy="1773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PERSONS WITH DISABILITIES</a:t>
          </a:r>
          <a:endParaRPr lang="en-US" sz="1100"/>
        </a:p>
      </cdr:txBody>
    </cdr:sp>
  </cdr:relSizeAnchor>
  <cdr:relSizeAnchor xmlns:cdr="http://schemas.openxmlformats.org/drawingml/2006/chartDrawing">
    <cdr:from>
      <cdr:x>0.76272</cdr:x>
      <cdr:y>0.4147</cdr:y>
    </cdr:from>
    <cdr:to>
      <cdr:x>0.93473</cdr:x>
      <cdr:y>0.79334</cdr:y>
    </cdr:to>
    <cdr:sp macro="" textlink="">
      <cdr:nvSpPr>
        <cdr:cNvPr id="4" name="TextBox 3"/>
        <cdr:cNvSpPr txBox="1"/>
      </cdr:nvSpPr>
      <cdr:spPr>
        <a:xfrm xmlns:a="http://schemas.openxmlformats.org/drawingml/2006/main">
          <a:off x="6618402" y="2612810"/>
          <a:ext cx="1492576" cy="23856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PERSONS WITH DISABILITIES</a:t>
          </a:r>
          <a:endParaRPr lang="en-US" sz="1400"/>
        </a:p>
        <a:p xmlns:a="http://schemas.openxmlformats.org/drawingml/2006/main">
          <a:pPr algn="ctr"/>
          <a:r>
            <a:rPr lang="en-US" sz="1400" b="1">
              <a:latin typeface="+mn-lt"/>
              <a:ea typeface="+mn-ea"/>
              <a:cs typeface="+mn-cs"/>
            </a:rPr>
            <a:t> EXCL. </a:t>
          </a:r>
          <a:endParaRPr lang="en-US" sz="1400"/>
        </a:p>
        <a:p xmlns:a="http://schemas.openxmlformats.org/drawingml/2006/main">
          <a:pPr algn="ctr"/>
          <a:r>
            <a:rPr lang="en-US" sz="1400" b="1">
              <a:latin typeface="+mn-lt"/>
              <a:ea typeface="+mn-ea"/>
              <a:cs typeface="+mn-cs"/>
            </a:rPr>
            <a:t>IAD &amp; FIRST</a:t>
          </a:r>
          <a:r>
            <a:rPr lang="en-US" sz="1400" b="1" baseline="0">
              <a:latin typeface="+mn-lt"/>
              <a:ea typeface="+mn-ea"/>
              <a:cs typeface="+mn-cs"/>
            </a:rPr>
            <a:t> NATIONS SA</a:t>
          </a:r>
          <a:endParaRPr lang="en-US" sz="1400" b="1">
            <a:latin typeface="+mn-lt"/>
            <a:ea typeface="+mn-ea"/>
            <a:cs typeface="+mn-cs"/>
          </a:endParaRPr>
        </a:p>
        <a:p xmlns:a="http://schemas.openxmlformats.org/drawingml/2006/main">
          <a:endParaRPr lang="en-US" sz="1400"/>
        </a:p>
      </cdr:txBody>
    </cdr:sp>
  </cdr:relSizeAnchor>
</c:userShapes>
</file>

<file path=xl/drawings/drawing19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0.1427</cdr:x>
      <cdr:y>0.48362</cdr:y>
    </cdr:from>
    <cdr:to>
      <cdr:x>0.29785</cdr:x>
      <cdr:y>0.71139</cdr:y>
    </cdr:to>
    <cdr:sp macro="" textlink="">
      <cdr:nvSpPr>
        <cdr:cNvPr id="2" name="TextBox 1"/>
        <cdr:cNvSpPr txBox="1"/>
      </cdr:nvSpPr>
      <cdr:spPr>
        <a:xfrm xmlns:a="http://schemas.openxmlformats.org/drawingml/2006/main">
          <a:off x="1237268" y="3044072"/>
          <a:ext cx="1345284" cy="14336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0.14496</cdr:x>
      <cdr:y>0.46802</cdr:y>
    </cdr:from>
    <cdr:to>
      <cdr:x>0.28539</cdr:x>
      <cdr:y>0.79251</cdr:y>
    </cdr:to>
    <cdr:sp macro="" textlink="">
      <cdr:nvSpPr>
        <cdr:cNvPr id="3" name="TextBox 2"/>
        <cdr:cNvSpPr txBox="1"/>
      </cdr:nvSpPr>
      <cdr:spPr>
        <a:xfrm xmlns:a="http://schemas.openxmlformats.org/drawingml/2006/main">
          <a:off x="1256907" y="2945876"/>
          <a:ext cx="1217629" cy="2042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0.16082</cdr:x>
      <cdr:y>0.45866</cdr:y>
    </cdr:from>
    <cdr:to>
      <cdr:x>0.27746</cdr:x>
      <cdr:y>0.73635</cdr:y>
    </cdr:to>
    <cdr:sp macro="" textlink="">
      <cdr:nvSpPr>
        <cdr:cNvPr id="4" name="TextBox 3"/>
        <cdr:cNvSpPr txBox="1"/>
      </cdr:nvSpPr>
      <cdr:spPr>
        <a:xfrm xmlns:a="http://schemas.openxmlformats.org/drawingml/2006/main">
          <a:off x="1394381" y="2886959"/>
          <a:ext cx="1011418" cy="17478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0.46886</cdr:x>
      <cdr:y>0.5741</cdr:y>
    </cdr:from>
    <cdr:to>
      <cdr:x>0.59796</cdr:x>
      <cdr:y>0.83931</cdr:y>
    </cdr:to>
    <cdr:sp macro="" textlink="">
      <cdr:nvSpPr>
        <cdr:cNvPr id="5" name="TextBox 4"/>
        <cdr:cNvSpPr txBox="1"/>
      </cdr:nvSpPr>
      <cdr:spPr>
        <a:xfrm xmlns:a="http://schemas.openxmlformats.org/drawingml/2006/main">
          <a:off x="4065309" y="3613608"/>
          <a:ext cx="1119433" cy="16693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0.13817</cdr:x>
      <cdr:y>0.4493</cdr:y>
    </cdr:from>
    <cdr:to>
      <cdr:x>0.29672</cdr:x>
      <cdr:y>0.76911</cdr:y>
    </cdr:to>
    <cdr:sp macro="" textlink="">
      <cdr:nvSpPr>
        <cdr:cNvPr id="6" name="TextBox 5"/>
        <cdr:cNvSpPr txBox="1"/>
      </cdr:nvSpPr>
      <cdr:spPr>
        <a:xfrm xmlns:a="http://schemas.openxmlformats.org/drawingml/2006/main">
          <a:off x="1197990" y="2828041"/>
          <a:ext cx="1374742" cy="2013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CA" sz="1400" b="1"/>
            <a:t>SA FOR PERSONS</a:t>
          </a:r>
          <a:r>
            <a:rPr lang="en-CA" sz="1400" b="1" baseline="0"/>
            <a:t> WITH DISABILTIES</a:t>
          </a:r>
          <a:endParaRPr lang="en-CA" sz="1400" b="1"/>
        </a:p>
        <a:p xmlns:a="http://schemas.openxmlformats.org/drawingml/2006/main">
          <a:pPr algn="ctr"/>
          <a:endParaRPr lang="en-CA" sz="1400" b="1"/>
        </a:p>
        <a:p xmlns:a="http://schemas.openxmlformats.org/drawingml/2006/main">
          <a:pPr algn="ctr"/>
          <a:r>
            <a:rPr lang="en-CA" sz="1400" b="1"/>
            <a:t>(IncL. First Nations SA,</a:t>
          </a:r>
          <a:r>
            <a:rPr lang="en-CA" sz="1400" b="1" baseline="0"/>
            <a:t> AISH and SAID)</a:t>
          </a:r>
          <a:endParaRPr lang="en-CA" sz="1400" b="1"/>
        </a:p>
      </cdr:txBody>
    </cdr:sp>
  </cdr:relSizeAnchor>
  <cdr:relSizeAnchor xmlns:cdr="http://schemas.openxmlformats.org/drawingml/2006/chartDrawing">
    <cdr:from>
      <cdr:x>0.45866</cdr:x>
      <cdr:y>0.62402</cdr:y>
    </cdr:from>
    <cdr:to>
      <cdr:x>0.61282</cdr:x>
      <cdr:y>0.79894</cdr:y>
    </cdr:to>
    <cdr:sp macro="" textlink="">
      <cdr:nvSpPr>
        <cdr:cNvPr id="7" name="TextBox 6"/>
        <cdr:cNvSpPr txBox="1"/>
      </cdr:nvSpPr>
      <cdr:spPr>
        <a:xfrm xmlns:a="http://schemas.openxmlformats.org/drawingml/2006/main">
          <a:off x="3976933" y="3927835"/>
          <a:ext cx="1336642" cy="110097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CA" sz="1400" b="1"/>
            <a:t>TOTAL INCOME </a:t>
          </a:r>
        </a:p>
        <a:p xmlns:a="http://schemas.openxmlformats.org/drawingml/2006/main">
          <a:pPr algn="ctr"/>
          <a:r>
            <a:rPr lang="en-CA" sz="1400" b="1"/>
            <a:t>SUPPORT FOR</a:t>
          </a:r>
          <a:r>
            <a:rPr lang="en-CA" sz="1400" b="1" baseline="0"/>
            <a:t> </a:t>
          </a:r>
        </a:p>
        <a:p xmlns:a="http://schemas.openxmlformats.org/drawingml/2006/main">
          <a:pPr algn="ctr"/>
          <a:r>
            <a:rPr lang="en-CA" sz="1400" b="1" baseline="0"/>
            <a:t>PERSONS WITH</a:t>
          </a:r>
        </a:p>
        <a:p xmlns:a="http://schemas.openxmlformats.org/drawingml/2006/main">
          <a:pPr algn="ctr"/>
          <a:r>
            <a:rPr lang="en-CA" sz="1400" b="1" baseline="0"/>
            <a:t> DISABILITIES</a:t>
          </a:r>
        </a:p>
        <a:p xmlns:a="http://schemas.openxmlformats.org/drawingml/2006/main">
          <a:pPr algn="ctr"/>
          <a:endParaRPr lang="en-CA" sz="1400" b="1"/>
        </a:p>
        <a:p xmlns:a="http://schemas.openxmlformats.org/drawingml/2006/main">
          <a:endParaRPr lang="en-CA" sz="1100"/>
        </a:p>
      </cdr:txBody>
    </cdr:sp>
  </cdr:relSizeAnchor>
  <cdr:relSizeAnchor xmlns:cdr="http://schemas.openxmlformats.org/drawingml/2006/chartDrawing">
    <cdr:from>
      <cdr:x>0.7701</cdr:x>
      <cdr:y>0.67239</cdr:y>
    </cdr:from>
    <cdr:to>
      <cdr:x>0.93092</cdr:x>
      <cdr:y>0.85335</cdr:y>
    </cdr:to>
    <cdr:sp macro="" textlink="">
      <cdr:nvSpPr>
        <cdr:cNvPr id="8" name="TextBox 7"/>
        <cdr:cNvSpPr txBox="1"/>
      </cdr:nvSpPr>
      <cdr:spPr>
        <a:xfrm xmlns:a="http://schemas.openxmlformats.org/drawingml/2006/main">
          <a:off x="6677319" y="4232242"/>
          <a:ext cx="1394381" cy="1139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CA" sz="1400" b="1"/>
            <a:t>TOTAL INCOME SUPPORT FOR PERSONS WITH DISABILITIES EXCL. SA</a:t>
          </a:r>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0.xml><?xml version="1.0" encoding="utf-8"?>
<c:userShapes xmlns:c="http://schemas.openxmlformats.org/drawingml/2006/chart">
  <cdr:relSizeAnchor xmlns:cdr="http://schemas.openxmlformats.org/drawingml/2006/chartDrawing">
    <cdr:from>
      <cdr:x>0.11581</cdr:x>
      <cdr:y>0.63662</cdr:y>
    </cdr:from>
    <cdr:to>
      <cdr:x>0.29507</cdr:x>
      <cdr:y>0.89736</cdr:y>
    </cdr:to>
    <cdr:sp macro="" textlink="">
      <cdr:nvSpPr>
        <cdr:cNvPr id="2" name="TextBox 1"/>
        <cdr:cNvSpPr txBox="1"/>
      </cdr:nvSpPr>
      <cdr:spPr>
        <a:xfrm xmlns:a="http://schemas.openxmlformats.org/drawingml/2006/main">
          <a:off x="1004925" y="4010986"/>
          <a:ext cx="1555504" cy="16428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INCOME</a:t>
          </a:r>
          <a:r>
            <a:rPr lang="en-US" sz="1400" b="1" baseline="0"/>
            <a:t> ASSISTANCE FOR THE DISABLED (IAD) &amp; FIRST NATIONS SA</a:t>
          </a:r>
          <a:endParaRPr lang="en-US" sz="1400" b="1"/>
        </a:p>
      </cdr:txBody>
    </cdr:sp>
  </cdr:relSizeAnchor>
  <cdr:relSizeAnchor xmlns:cdr="http://schemas.openxmlformats.org/drawingml/2006/chartDrawing">
    <cdr:from>
      <cdr:x>0.42598</cdr:x>
      <cdr:y>0.56865</cdr:y>
    </cdr:from>
    <cdr:to>
      <cdr:x>0.6002</cdr:x>
      <cdr:y>0.77115</cdr:y>
    </cdr:to>
    <cdr:sp macro="" textlink="">
      <cdr:nvSpPr>
        <cdr:cNvPr id="3" name="TextBox 2"/>
        <cdr:cNvSpPr txBox="1"/>
      </cdr:nvSpPr>
      <cdr:spPr>
        <a:xfrm xmlns:a="http://schemas.openxmlformats.org/drawingml/2006/main">
          <a:off x="3696383" y="3582798"/>
          <a:ext cx="1511770" cy="12758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a:t>
          </a:r>
        </a:p>
      </cdr:txBody>
    </cdr:sp>
  </cdr:relSizeAnchor>
  <cdr:relSizeAnchor xmlns:cdr="http://schemas.openxmlformats.org/drawingml/2006/chartDrawing">
    <cdr:from>
      <cdr:x>0.73212</cdr:x>
      <cdr:y>0.50485</cdr:y>
    </cdr:from>
    <cdr:to>
      <cdr:x>0.91339</cdr:x>
      <cdr:y>0.79334</cdr:y>
    </cdr:to>
    <cdr:sp macro="" textlink="">
      <cdr:nvSpPr>
        <cdr:cNvPr id="4" name="TextBox 3"/>
        <cdr:cNvSpPr txBox="1"/>
      </cdr:nvSpPr>
      <cdr:spPr>
        <a:xfrm xmlns:a="http://schemas.openxmlformats.org/drawingml/2006/main">
          <a:off x="6352870" y="3180827"/>
          <a:ext cx="1572946" cy="1817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a:t>
          </a:r>
        </a:p>
        <a:p xmlns:a="http://schemas.openxmlformats.org/drawingml/2006/main">
          <a:pPr algn="ctr"/>
          <a:r>
            <a:rPr lang="en-US" sz="1400" b="1"/>
            <a:t> EXCL. </a:t>
          </a:r>
        </a:p>
        <a:p xmlns:a="http://schemas.openxmlformats.org/drawingml/2006/main">
          <a:pPr algn="ctr"/>
          <a:r>
            <a:rPr lang="en-US" sz="1400" b="1"/>
            <a:t>IAD &amp; FIRST</a:t>
          </a:r>
          <a:r>
            <a:rPr lang="en-US" sz="1400" b="1" baseline="0"/>
            <a:t> NATIONS SA</a:t>
          </a:r>
          <a:endParaRPr lang="en-US" sz="1400" b="1"/>
        </a:p>
      </cdr:txBody>
    </cdr:sp>
  </cdr:relSizeAnchor>
  <cdr:relSizeAnchor xmlns:cdr="http://schemas.openxmlformats.org/drawingml/2006/chartDrawing">
    <cdr:from>
      <cdr:x>0.09166</cdr:x>
      <cdr:y>0.21196</cdr:y>
    </cdr:from>
    <cdr:to>
      <cdr:x>0.2648</cdr:x>
      <cdr:y>0.26028</cdr:y>
    </cdr:to>
    <cdr:sp macro="" textlink="">
      <cdr:nvSpPr>
        <cdr:cNvPr id="5" name="TextBox 4"/>
        <cdr:cNvSpPr txBox="1"/>
      </cdr:nvSpPr>
      <cdr:spPr>
        <a:xfrm xmlns:a="http://schemas.openxmlformats.org/drawingml/2006/main">
          <a:off x="795388" y="1335464"/>
          <a:ext cx="1502396" cy="304407"/>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CA" sz="1100" b="1" i="1"/>
            <a:t>Revised October 2012</a:t>
          </a:r>
        </a:p>
      </cdr:txBody>
    </cdr:sp>
  </cdr:relSizeAnchor>
</c:userShapes>
</file>

<file path=xl/drawings/drawing201.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2.xml><?xml version="1.0" encoding="utf-8"?>
<xdr:wsDr xmlns:xdr="http://schemas.openxmlformats.org/drawingml/2006/spreadsheetDrawing" xmlns:a="http://schemas.openxmlformats.org/drawingml/2006/main">
  <xdr:absoluteAnchor>
    <xdr:pos x="19639" y="981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3.xml><?xml version="1.0" encoding="utf-8"?>
<xdr:wsDr xmlns:xdr="http://schemas.openxmlformats.org/drawingml/2006/spreadsheetDrawing" xmlns:a="http://schemas.openxmlformats.org/drawingml/2006/main">
  <xdr:absoluteAnchor>
    <xdr:pos x="19639"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4.xml><?xml version="1.0" encoding="utf-8"?>
<xdr:wsDr xmlns:xdr="http://schemas.openxmlformats.org/drawingml/2006/spreadsheetDrawing" xmlns:a="http://schemas.openxmlformats.org/drawingml/2006/main">
  <xdr:absoluteAnchor>
    <xdr:pos x="-9820"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5.xml><?xml version="1.0" encoding="utf-8"?>
<xdr:wsDr xmlns:xdr="http://schemas.openxmlformats.org/drawingml/2006/spreadsheetDrawing" xmlns:a="http://schemas.openxmlformats.org/drawingml/2006/main">
  <xdr:absoluteAnchor>
    <xdr:pos x="12973"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6.xml><?xml version="1.0" encoding="utf-8"?>
<xdr:wsDr xmlns:xdr="http://schemas.openxmlformats.org/drawingml/2006/spreadsheetDrawing" xmlns:a="http://schemas.openxmlformats.org/drawingml/2006/main">
  <xdr:absoluteAnchor>
    <xdr:pos x="12973" y="-3243"/>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7.xml><?xml version="1.0" encoding="utf-8"?>
<c:userShapes xmlns:c="http://schemas.openxmlformats.org/drawingml/2006/chart">
  <cdr:relSizeAnchor xmlns:cdr="http://schemas.openxmlformats.org/drawingml/2006/chartDrawing">
    <cdr:from>
      <cdr:x>0.06747</cdr:x>
      <cdr:y>0.18585</cdr:y>
    </cdr:from>
    <cdr:to>
      <cdr:x>0.2848</cdr:x>
      <cdr:y>0.31067</cdr:y>
    </cdr:to>
    <cdr:sp macro="" textlink="">
      <cdr:nvSpPr>
        <cdr:cNvPr id="2" name="TextBox 1"/>
        <cdr:cNvSpPr txBox="1"/>
      </cdr:nvSpPr>
      <cdr:spPr>
        <a:xfrm xmlns:a="http://schemas.openxmlformats.org/drawingml/2006/main">
          <a:off x="585461" y="1170945"/>
          <a:ext cx="1885831" cy="786397"/>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US" sz="1000" b="1" i="1"/>
            <a:t>October</a:t>
          </a:r>
          <a:r>
            <a:rPr lang="en-US" sz="1000" b="1" i="1" baseline="0"/>
            <a:t> </a:t>
          </a:r>
          <a:r>
            <a:rPr lang="en-US" sz="1000" b="1" i="1"/>
            <a:t>2012</a:t>
          </a:r>
        </a:p>
        <a:p xmlns:a="http://schemas.openxmlformats.org/drawingml/2006/main">
          <a:r>
            <a:rPr lang="en-US" sz="1000" b="0" i="1"/>
            <a:t>First Nations SA for disabled revised</a:t>
          </a:r>
        </a:p>
        <a:p xmlns:a="http://schemas.openxmlformats.org/drawingml/2006/main">
          <a:r>
            <a:rPr lang="en-US" sz="1000" b="0" i="1"/>
            <a:t>Disability</a:t>
          </a:r>
          <a:r>
            <a:rPr lang="en-US" sz="1000" b="0" i="1" baseline="0"/>
            <a:t> Tax Measures revised</a:t>
          </a:r>
          <a:endParaRPr lang="en-US" sz="1000" b="0" i="1"/>
        </a:p>
      </cdr:txBody>
    </cdr:sp>
  </cdr:relSizeAnchor>
</c:userShapes>
</file>

<file path=xl/drawings/drawing208.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0.11883</cdr:x>
      <cdr:y>0.44938</cdr:y>
    </cdr:from>
    <cdr:to>
      <cdr:x>0.3142</cdr:x>
      <cdr:y>0.78363</cdr:y>
    </cdr:to>
    <cdr:sp macro="" textlink="">
      <cdr:nvSpPr>
        <cdr:cNvPr id="2" name="TextBox 1"/>
        <cdr:cNvSpPr txBox="1"/>
      </cdr:nvSpPr>
      <cdr:spPr>
        <a:xfrm xmlns:a="http://schemas.openxmlformats.org/drawingml/2006/main">
          <a:off x="1031147" y="2831285"/>
          <a:ext cx="1695275" cy="21059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SA</a:t>
          </a:r>
          <a:r>
            <a:rPr lang="en-US" sz="1400" b="1" baseline="0">
              <a:latin typeface="+mn-lt"/>
              <a:ea typeface="+mn-ea"/>
              <a:cs typeface="+mn-cs"/>
            </a:rPr>
            <a:t> FOR THE DISABLED</a:t>
          </a:r>
          <a:endParaRPr lang="en-US" sz="1400" b="1"/>
        </a:p>
        <a:p xmlns:a="http://schemas.openxmlformats.org/drawingml/2006/main">
          <a:pPr algn="ctr"/>
          <a:r>
            <a:rPr lang="en-US" sz="1200" b="1" baseline="0">
              <a:latin typeface="+mn-lt"/>
              <a:ea typeface="+mn-ea"/>
              <a:cs typeface="+mn-cs"/>
            </a:rPr>
            <a:t>(Incl. First </a:t>
          </a:r>
          <a:endParaRPr lang="en-US" sz="1200" b="1"/>
        </a:p>
        <a:p xmlns:a="http://schemas.openxmlformats.org/drawingml/2006/main">
          <a:pPr algn="ctr"/>
          <a:r>
            <a:rPr lang="en-US" sz="1200" b="1" baseline="0">
              <a:latin typeface="+mn-lt"/>
              <a:ea typeface="+mn-ea"/>
              <a:cs typeface="+mn-cs"/>
            </a:rPr>
            <a:t>Nations SA </a:t>
          </a:r>
          <a:endParaRPr lang="en-US" sz="1200" b="1"/>
        </a:p>
        <a:p xmlns:a="http://schemas.openxmlformats.org/drawingml/2006/main">
          <a:pPr algn="ctr"/>
          <a:r>
            <a:rPr lang="en-US" sz="1200" b="1" baseline="0">
              <a:latin typeface="+mn-lt"/>
              <a:ea typeface="+mn-ea"/>
              <a:cs typeface="+mn-cs"/>
            </a:rPr>
            <a:t>&amp; AISH)</a:t>
          </a:r>
          <a:endParaRPr lang="en-US" sz="1200" b="1"/>
        </a:p>
        <a:p xmlns:a="http://schemas.openxmlformats.org/drawingml/2006/main">
          <a:endParaRPr lang="en-US" sz="1100"/>
        </a:p>
      </cdr:txBody>
    </cdr:sp>
  </cdr:relSizeAnchor>
  <cdr:relSizeAnchor xmlns:cdr="http://schemas.openxmlformats.org/drawingml/2006/chartDrawing">
    <cdr:from>
      <cdr:x>0.43102</cdr:x>
      <cdr:y>0.5853</cdr:y>
    </cdr:from>
    <cdr:to>
      <cdr:x>0.62034</cdr:x>
      <cdr:y>0.8516</cdr:y>
    </cdr:to>
    <cdr:sp macro="" textlink="">
      <cdr:nvSpPr>
        <cdr:cNvPr id="3" name="TextBox 2"/>
        <cdr:cNvSpPr txBox="1"/>
      </cdr:nvSpPr>
      <cdr:spPr>
        <a:xfrm xmlns:a="http://schemas.openxmlformats.org/drawingml/2006/main">
          <a:off x="3740092" y="3687661"/>
          <a:ext cx="1642844" cy="16777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a:p>
        <a:p xmlns:a="http://schemas.openxmlformats.org/drawingml/2006/main">
          <a:endParaRPr lang="en-US" sz="1100"/>
        </a:p>
      </cdr:txBody>
    </cdr:sp>
  </cdr:relSizeAnchor>
  <cdr:relSizeAnchor xmlns:cdr="http://schemas.openxmlformats.org/drawingml/2006/chartDrawing">
    <cdr:from>
      <cdr:x>0.73817</cdr:x>
      <cdr:y>0.62829</cdr:y>
    </cdr:from>
    <cdr:to>
      <cdr:x>0.92649</cdr:x>
      <cdr:y>0.88766</cdr:y>
    </cdr:to>
    <cdr:sp macro="" textlink="">
      <cdr:nvSpPr>
        <cdr:cNvPr id="4" name="TextBox 3"/>
        <cdr:cNvSpPr txBox="1"/>
      </cdr:nvSpPr>
      <cdr:spPr>
        <a:xfrm xmlns:a="http://schemas.openxmlformats.org/drawingml/2006/main">
          <a:off x="6405344" y="3958555"/>
          <a:ext cx="1634106" cy="16341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 EXCL.</a:t>
          </a:r>
          <a:r>
            <a:rPr lang="en-US" sz="1400" b="1" baseline="0">
              <a:latin typeface="+mn-lt"/>
              <a:ea typeface="+mn-ea"/>
              <a:cs typeface="+mn-cs"/>
            </a:rPr>
            <a:t> SA</a:t>
          </a:r>
          <a:endParaRPr lang="en-US" sz="1400"/>
        </a:p>
        <a:p xmlns:a="http://schemas.openxmlformats.org/drawingml/2006/main">
          <a:endParaRPr lang="en-US" sz="1100"/>
        </a:p>
      </cdr:txBody>
    </cdr:sp>
  </cdr:relSizeAnchor>
</c:userShapes>
</file>

<file path=xl/drawings/drawing21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1.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2.xml><?xml version="1.0" encoding="utf-8"?>
<c:userShapes xmlns:c="http://schemas.openxmlformats.org/drawingml/2006/chart">
  <cdr:relSizeAnchor xmlns:cdr="http://schemas.openxmlformats.org/drawingml/2006/chartDrawing">
    <cdr:from>
      <cdr:x>0.80294</cdr:x>
      <cdr:y>0.22153</cdr:y>
    </cdr:from>
    <cdr:to>
      <cdr:x>0.9581</cdr:x>
      <cdr:y>0.26989</cdr:y>
    </cdr:to>
    <cdr:sp macro="" textlink="">
      <cdr:nvSpPr>
        <cdr:cNvPr id="3" name="TextBox 2"/>
        <cdr:cNvSpPr txBox="1"/>
      </cdr:nvSpPr>
      <cdr:spPr>
        <a:xfrm xmlns:a="http://schemas.openxmlformats.org/drawingml/2006/main">
          <a:off x="6962088" y="1394382"/>
          <a:ext cx="1345283" cy="304408"/>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CA" sz="1100" b="1">
              <a:solidFill>
                <a:schemeClr val="bg1"/>
              </a:solidFill>
            </a:rPr>
            <a:t>2005-06 to 2009-10</a:t>
          </a:r>
        </a:p>
      </cdr:txBody>
    </cdr:sp>
  </cdr:relSizeAnchor>
  <cdr:relSizeAnchor xmlns:cdr="http://schemas.openxmlformats.org/drawingml/2006/chartDrawing">
    <cdr:from>
      <cdr:x>0.80408</cdr:x>
      <cdr:y>0.27925</cdr:y>
    </cdr:from>
    <cdr:to>
      <cdr:x>0.95696</cdr:x>
      <cdr:y>0.32449</cdr:y>
    </cdr:to>
    <cdr:sp macro="" textlink="">
      <cdr:nvSpPr>
        <cdr:cNvPr id="4" name="TextBox 3"/>
        <cdr:cNvSpPr txBox="1"/>
      </cdr:nvSpPr>
      <cdr:spPr>
        <a:xfrm xmlns:a="http://schemas.openxmlformats.org/drawingml/2006/main">
          <a:off x="6971908" y="1757707"/>
          <a:ext cx="1325644" cy="284768"/>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2010-11</a:t>
          </a:r>
        </a:p>
        <a:p xmlns:a="http://schemas.openxmlformats.org/drawingml/2006/main">
          <a:endParaRPr lang="en-CA" sz="1100"/>
        </a:p>
      </cdr:txBody>
    </cdr:sp>
  </cdr:relSizeAnchor>
  <cdr:relSizeAnchor xmlns:cdr="http://schemas.openxmlformats.org/drawingml/2006/chartDrawing">
    <cdr:from>
      <cdr:x>0.80294</cdr:x>
      <cdr:y>0.33541</cdr:y>
    </cdr:from>
    <cdr:to>
      <cdr:x>0.95357</cdr:x>
      <cdr:y>0.38222</cdr:y>
    </cdr:to>
    <cdr:sp macro="" textlink="">
      <cdr:nvSpPr>
        <cdr:cNvPr id="5" name="TextBox 4"/>
        <cdr:cNvSpPr txBox="1"/>
      </cdr:nvSpPr>
      <cdr:spPr>
        <a:xfrm xmlns:a="http://schemas.openxmlformats.org/drawingml/2006/main">
          <a:off x="6962088" y="2111211"/>
          <a:ext cx="1306005" cy="294588"/>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1100"/>
            <a:t>2005-06 to 2011-12</a:t>
          </a:r>
        </a:p>
        <a:p xmlns:a="http://schemas.openxmlformats.org/drawingml/2006/main">
          <a:endParaRPr lang="en-CA" sz="1100"/>
        </a:p>
      </cdr:txBody>
    </cdr:sp>
  </cdr:relSizeAnchor>
</c:userShapes>
</file>

<file path=xl/drawings/drawing213.xml><?xml version="1.0" encoding="utf-8"?>
<xdr:wsDr xmlns:xdr="http://schemas.openxmlformats.org/drawingml/2006/spreadsheetDrawing" xmlns:a="http://schemas.openxmlformats.org/drawingml/2006/main">
  <xdr:absoluteAnchor>
    <xdr:pos x="8739"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4.xml><?xml version="1.0" encoding="utf-8"?>
<c:userShapes xmlns:c="http://schemas.openxmlformats.org/drawingml/2006/chart">
  <cdr:relSizeAnchor xmlns:cdr="http://schemas.openxmlformats.org/drawingml/2006/chartDrawing">
    <cdr:from>
      <cdr:x>0.76234</cdr:x>
      <cdr:y>0.23162</cdr:y>
    </cdr:from>
    <cdr:to>
      <cdr:x>0.90232</cdr:x>
      <cdr:y>0.26768</cdr:y>
    </cdr:to>
    <cdr:sp macro="" textlink="">
      <cdr:nvSpPr>
        <cdr:cNvPr id="2" name="TextBox 1"/>
        <cdr:cNvSpPr txBox="1"/>
      </cdr:nvSpPr>
      <cdr:spPr>
        <a:xfrm xmlns:a="http://schemas.openxmlformats.org/drawingml/2006/main">
          <a:off x="6615070" y="1459335"/>
          <a:ext cx="1214656" cy="227202"/>
        </a:xfrm>
        <a:prstGeom xmlns:a="http://schemas.openxmlformats.org/drawingml/2006/main" prst="rect">
          <a:avLst/>
        </a:prstGeom>
        <a:solidFill xmlns:a="http://schemas.openxmlformats.org/drawingml/2006/main">
          <a:srgbClr val="4F81BD"/>
        </a:solidFill>
      </cdr:spPr>
      <cdr:txBody>
        <a:bodyPr xmlns:a="http://schemas.openxmlformats.org/drawingml/2006/main" vertOverflow="clip" wrap="square" rtlCol="0"/>
        <a:lstStyle xmlns:a="http://schemas.openxmlformats.org/drawingml/2006/main"/>
        <a:p xmlns:a="http://schemas.openxmlformats.org/drawingml/2006/main">
          <a:r>
            <a:rPr lang="en-US" sz="1000" b="1" baseline="0">
              <a:solidFill>
                <a:schemeClr val="bg1"/>
              </a:solidFill>
            </a:rPr>
            <a:t>2005-06</a:t>
          </a:r>
          <a:r>
            <a:rPr lang="en-US" sz="1000" b="1">
              <a:solidFill>
                <a:schemeClr val="bg1"/>
              </a:solidFill>
            </a:rPr>
            <a:t> to 2009-10</a:t>
          </a:r>
        </a:p>
      </cdr:txBody>
    </cdr:sp>
  </cdr:relSizeAnchor>
  <cdr:relSizeAnchor xmlns:cdr="http://schemas.openxmlformats.org/drawingml/2006/chartDrawing">
    <cdr:from>
      <cdr:x>0.76234</cdr:x>
      <cdr:y>0.27878</cdr:y>
    </cdr:from>
    <cdr:to>
      <cdr:x>0.90232</cdr:x>
      <cdr:y>0.32178</cdr:y>
    </cdr:to>
    <cdr:sp macro="" textlink="">
      <cdr:nvSpPr>
        <cdr:cNvPr id="3" name="TextBox 2"/>
        <cdr:cNvSpPr txBox="1"/>
      </cdr:nvSpPr>
      <cdr:spPr>
        <a:xfrm xmlns:a="http://schemas.openxmlformats.org/drawingml/2006/main">
          <a:off x="6615069" y="1756445"/>
          <a:ext cx="1214656" cy="270894"/>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US" sz="1000" b="1"/>
            <a:t>2005-06 to 2010-11</a:t>
          </a:r>
        </a:p>
        <a:p xmlns:a="http://schemas.openxmlformats.org/drawingml/2006/main">
          <a:endParaRPr lang="en-US" sz="1100"/>
        </a:p>
      </cdr:txBody>
    </cdr:sp>
  </cdr:relSizeAnchor>
</c:userShapes>
</file>

<file path=xl/drawings/drawing215.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6.xml><?xml version="1.0" encoding="utf-8"?>
<c:userShapes xmlns:c="http://schemas.openxmlformats.org/drawingml/2006/chart">
  <cdr:relSizeAnchor xmlns:cdr="http://schemas.openxmlformats.org/drawingml/2006/chartDrawing">
    <cdr:from>
      <cdr:x>0.11891</cdr:x>
      <cdr:y>0.73011</cdr:y>
    </cdr:from>
    <cdr:to>
      <cdr:x>0.30691</cdr:x>
      <cdr:y>0.92044</cdr:y>
    </cdr:to>
    <cdr:sp macro="" textlink="">
      <cdr:nvSpPr>
        <cdr:cNvPr id="2" name="TextBox 1"/>
        <cdr:cNvSpPr txBox="1"/>
      </cdr:nvSpPr>
      <cdr:spPr>
        <a:xfrm xmlns:a="http://schemas.openxmlformats.org/drawingml/2006/main">
          <a:off x="1031057" y="4595567"/>
          <a:ext cx="1630051" cy="1197989"/>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a:t>
          </a:r>
          <a:r>
            <a:rPr lang="en-US" sz="1400" b="1" baseline="0">
              <a:latin typeface="+mn-lt"/>
              <a:ea typeface="+mn-ea"/>
              <a:cs typeface="+mn-cs"/>
            </a:rPr>
            <a:t> ASSISTANCE FOR THE DISABLED (IAD) &amp; FIRST NATIONS SA</a:t>
          </a:r>
          <a:endParaRPr lang="en-US" sz="14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0.43601</cdr:x>
      <cdr:y>0.65523</cdr:y>
    </cdr:from>
    <cdr:to>
      <cdr:x>0.60815</cdr:x>
      <cdr:y>0.84555</cdr:y>
    </cdr:to>
    <cdr:sp macro="" textlink="">
      <cdr:nvSpPr>
        <cdr:cNvPr id="3" name="TextBox 2"/>
        <cdr:cNvSpPr txBox="1"/>
      </cdr:nvSpPr>
      <cdr:spPr>
        <a:xfrm xmlns:a="http://schemas.openxmlformats.org/drawingml/2006/main">
          <a:off x="3780542" y="4124227"/>
          <a:ext cx="1492578" cy="1197989"/>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a:t>
          </a:r>
          <a:r>
            <a:rPr lang="en-US" sz="1400" b="1" baseline="0">
              <a:latin typeface="+mn-lt"/>
              <a:ea typeface="+mn-ea"/>
              <a:cs typeface="+mn-cs"/>
            </a:rPr>
            <a:t> ASSISTANCE FOR THE DISABLED (IAD) &amp; FIRST NATIONS SA</a:t>
          </a:r>
          <a:endParaRPr lang="en-US" sz="14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0.74519</cdr:x>
      <cdr:y>0.63027</cdr:y>
    </cdr:from>
    <cdr:to>
      <cdr:x>0.9128</cdr:x>
      <cdr:y>0.86271</cdr:y>
    </cdr:to>
    <cdr:sp macro="" textlink="">
      <cdr:nvSpPr>
        <cdr:cNvPr id="4" name="TextBox 3"/>
        <cdr:cNvSpPr txBox="1"/>
      </cdr:nvSpPr>
      <cdr:spPr>
        <a:xfrm xmlns:a="http://schemas.openxmlformats.org/drawingml/2006/main">
          <a:off x="6461289" y="3967113"/>
          <a:ext cx="1453299" cy="1463119"/>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 EXCL. </a:t>
          </a:r>
        </a:p>
        <a:p xmlns:a="http://schemas.openxmlformats.org/drawingml/2006/main">
          <a:pPr algn="ctr"/>
          <a:r>
            <a:rPr lang="en-US" sz="1400" b="1">
              <a:latin typeface="+mn-lt"/>
              <a:ea typeface="+mn-ea"/>
              <a:cs typeface="+mn-cs"/>
            </a:rPr>
            <a:t>IAD &amp;</a:t>
          </a:r>
          <a:r>
            <a:rPr lang="en-US" sz="1400" b="1" baseline="0">
              <a:latin typeface="+mn-lt"/>
              <a:ea typeface="+mn-ea"/>
              <a:cs typeface="+mn-cs"/>
            </a:rPr>
            <a:t> FIRST NATIONS SA</a:t>
          </a:r>
          <a:endParaRPr lang="en-US" sz="1400" b="1">
            <a:latin typeface="+mn-lt"/>
            <a:ea typeface="+mn-ea"/>
            <a:cs typeface="+mn-cs"/>
          </a:endParaRPr>
        </a:p>
        <a:p xmlns:a="http://schemas.openxmlformats.org/drawingml/2006/main">
          <a:pPr algn="ctr"/>
          <a:endParaRPr lang="en-CA" sz="1100"/>
        </a:p>
      </cdr:txBody>
    </cdr:sp>
  </cdr:relSizeAnchor>
</c:userShapes>
</file>

<file path=xl/drawings/drawing217.xml><?xml version="1.0" encoding="utf-8"?>
<xdr:wsDr xmlns:xdr="http://schemas.openxmlformats.org/drawingml/2006/spreadsheetDrawing" xmlns:a="http://schemas.openxmlformats.org/drawingml/2006/main">
  <xdr:absoluteAnchor>
    <xdr:pos x="-17477"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8.xml><?xml version="1.0" encoding="utf-8"?>
<c:userShapes xmlns:c="http://schemas.openxmlformats.org/drawingml/2006/chart">
  <cdr:relSizeAnchor xmlns:cdr="http://schemas.openxmlformats.org/drawingml/2006/chartDrawing">
    <cdr:from>
      <cdr:x>0.09366</cdr:x>
      <cdr:y>0.66436</cdr:y>
    </cdr:from>
    <cdr:to>
      <cdr:x>0.31621</cdr:x>
      <cdr:y>0.81831</cdr:y>
    </cdr:to>
    <cdr:sp macro="" textlink="">
      <cdr:nvSpPr>
        <cdr:cNvPr id="2" name="TextBox 1"/>
        <cdr:cNvSpPr txBox="1"/>
      </cdr:nvSpPr>
      <cdr:spPr>
        <a:xfrm xmlns:a="http://schemas.openxmlformats.org/drawingml/2006/main">
          <a:off x="812683" y="4185757"/>
          <a:ext cx="1931216" cy="969977"/>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a:t>
          </a:r>
          <a:r>
            <a:rPr lang="en-US" sz="1400" b="1" baseline="0">
              <a:latin typeface="+mn-lt"/>
              <a:ea typeface="+mn-ea"/>
              <a:cs typeface="+mn-cs"/>
            </a:rPr>
            <a:t> ASSISTANCE FOR THE DISABLED (IAD) &amp; FIRST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0.41289</cdr:x>
      <cdr:y>0.62691</cdr:y>
    </cdr:from>
    <cdr:to>
      <cdr:x>0.61833</cdr:x>
      <cdr:y>0.74757</cdr:y>
    </cdr:to>
    <cdr:sp macro="" textlink="">
      <cdr:nvSpPr>
        <cdr:cNvPr id="3" name="TextBox 2"/>
        <cdr:cNvSpPr txBox="1"/>
      </cdr:nvSpPr>
      <cdr:spPr>
        <a:xfrm xmlns:a="http://schemas.openxmlformats.org/drawingml/2006/main">
          <a:off x="3582797" y="3949818"/>
          <a:ext cx="1782661" cy="760251"/>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a:t>
          </a:r>
          <a:r>
            <a:rPr lang="en-US" sz="1400" b="1" baseline="0">
              <a:latin typeface="+mn-lt"/>
              <a:ea typeface="+mn-ea"/>
              <a:cs typeface="+mn-cs"/>
            </a:rPr>
            <a:t> INCOME SUPPORT FOR THE DISABLED</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0.71299</cdr:x>
      <cdr:y>0.49515</cdr:y>
    </cdr:from>
    <cdr:to>
      <cdr:x>0.93253</cdr:x>
      <cdr:y>0.68932</cdr:y>
    </cdr:to>
    <cdr:sp macro="" textlink="">
      <cdr:nvSpPr>
        <cdr:cNvPr id="4" name="TextBox 3"/>
        <cdr:cNvSpPr txBox="1"/>
      </cdr:nvSpPr>
      <cdr:spPr>
        <a:xfrm xmlns:a="http://schemas.openxmlformats.org/drawingml/2006/main">
          <a:off x="6186881" y="3119656"/>
          <a:ext cx="1905000" cy="1223395"/>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 EXCL. </a:t>
          </a:r>
          <a:endParaRPr lang="en-US" sz="1400">
            <a:latin typeface="+mn-lt"/>
            <a:ea typeface="+mn-ea"/>
            <a:cs typeface="+mn-cs"/>
          </a:endParaRPr>
        </a:p>
        <a:p xmlns:a="http://schemas.openxmlformats.org/drawingml/2006/main">
          <a:pPr algn="ctr"/>
          <a:r>
            <a:rPr lang="en-US" sz="1400" b="1">
              <a:latin typeface="+mn-lt"/>
              <a:ea typeface="+mn-ea"/>
              <a:cs typeface="+mn-cs"/>
            </a:rPr>
            <a:t>IAD &amp;</a:t>
          </a:r>
          <a:r>
            <a:rPr lang="en-US" sz="1400" b="1" baseline="0">
              <a:latin typeface="+mn-lt"/>
              <a:ea typeface="+mn-ea"/>
              <a:cs typeface="+mn-cs"/>
            </a:rPr>
            <a:t> FIRST NATIONS SA</a:t>
          </a:r>
          <a:endParaRPr lang="en-US" sz="1400" b="1">
            <a:latin typeface="+mn-lt"/>
            <a:ea typeface="+mn-ea"/>
            <a:cs typeface="+mn-cs"/>
          </a:endParaRPr>
        </a:p>
        <a:p xmlns:a="http://schemas.openxmlformats.org/drawingml/2006/main">
          <a:endParaRPr lang="en-US" sz="1100"/>
        </a:p>
      </cdr:txBody>
    </cdr:sp>
  </cdr:relSizeAnchor>
</c:userShapes>
</file>

<file path=xl/drawings/drawing21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0.xml><?xml version="1.0" encoding="utf-8"?>
<c:userShapes xmlns:c="http://schemas.openxmlformats.org/drawingml/2006/chart">
  <cdr:relSizeAnchor xmlns:cdr="http://schemas.openxmlformats.org/drawingml/2006/chartDrawing">
    <cdr:from>
      <cdr:x>0.12561</cdr:x>
      <cdr:y>0.66862</cdr:y>
    </cdr:from>
    <cdr:to>
      <cdr:x>0.31346</cdr:x>
      <cdr:y>0.9476</cdr:y>
    </cdr:to>
    <cdr:sp macro="" textlink="">
      <cdr:nvSpPr>
        <cdr:cNvPr id="2" name="TextBox 1"/>
        <cdr:cNvSpPr txBox="1"/>
      </cdr:nvSpPr>
      <cdr:spPr>
        <a:xfrm xmlns:a="http://schemas.openxmlformats.org/drawingml/2006/main">
          <a:off x="1089973" y="4212603"/>
          <a:ext cx="1630053" cy="17577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a:t>
          </a:r>
          <a:r>
            <a:rPr lang="en-US" sz="1400" b="1" baseline="0">
              <a:latin typeface="+mn-lt"/>
              <a:ea typeface="+mn-ea"/>
              <a:cs typeface="+mn-cs"/>
            </a:rPr>
            <a:t> ASSISTANCE FOR PERSONS WITH DISABILITIES </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latin typeface="+mn-lt"/>
              <a:ea typeface="+mn-ea"/>
              <a:cs typeface="+mn-cs"/>
            </a:rPr>
            <a:t>IAD &amp; FIRST NATIONS SA</a:t>
          </a:r>
          <a:endParaRPr lang="en-US" sz="1400" b="1">
            <a:latin typeface="+mn-lt"/>
            <a:ea typeface="+mn-ea"/>
            <a:cs typeface="+mn-cs"/>
          </a:endParaRPr>
        </a:p>
        <a:p xmlns:a="http://schemas.openxmlformats.org/drawingml/2006/main">
          <a:pPr algn="ctr"/>
          <a:endParaRPr lang="en-US" sz="1400"/>
        </a:p>
      </cdr:txBody>
    </cdr:sp>
  </cdr:relSizeAnchor>
  <cdr:relSizeAnchor xmlns:cdr="http://schemas.openxmlformats.org/drawingml/2006/chartDrawing">
    <cdr:from>
      <cdr:x>0.43794</cdr:x>
      <cdr:y>0.60939</cdr:y>
    </cdr:from>
    <cdr:to>
      <cdr:x>0.62466</cdr:x>
      <cdr:y>0.78502</cdr:y>
    </cdr:to>
    <cdr:sp macro="" textlink="">
      <cdr:nvSpPr>
        <cdr:cNvPr id="3" name="TextBox 2"/>
        <cdr:cNvSpPr txBox="1"/>
      </cdr:nvSpPr>
      <cdr:spPr>
        <a:xfrm xmlns:a="http://schemas.openxmlformats.org/drawingml/2006/main">
          <a:off x="3800164" y="3839459"/>
          <a:ext cx="1620237" cy="11065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a:t>
          </a:r>
          <a:r>
            <a:rPr lang="en-US" sz="1400" b="1" baseline="0">
              <a:latin typeface="+mn-lt"/>
              <a:ea typeface="+mn-ea"/>
              <a:cs typeface="+mn-cs"/>
            </a:rPr>
            <a:t> INCOME SUPPORT FOR PERSONS WITH DISABILITIES</a:t>
          </a:r>
          <a:endParaRPr lang="en-US" sz="1100"/>
        </a:p>
      </cdr:txBody>
    </cdr:sp>
  </cdr:relSizeAnchor>
  <cdr:relSizeAnchor xmlns:cdr="http://schemas.openxmlformats.org/drawingml/2006/chartDrawing">
    <cdr:from>
      <cdr:x>0.74348</cdr:x>
      <cdr:y>0.45821</cdr:y>
    </cdr:from>
    <cdr:to>
      <cdr:x>0.94039</cdr:x>
      <cdr:y>0.82108</cdr:y>
    </cdr:to>
    <cdr:sp macro="" textlink="">
      <cdr:nvSpPr>
        <cdr:cNvPr id="4" name="TextBox 3"/>
        <cdr:cNvSpPr txBox="1"/>
      </cdr:nvSpPr>
      <cdr:spPr>
        <a:xfrm xmlns:a="http://schemas.openxmlformats.org/drawingml/2006/main">
          <a:off x="6451469" y="2886959"/>
          <a:ext cx="1708608" cy="22862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PERSONS WITH DISABILITIES </a:t>
          </a:r>
        </a:p>
        <a:p xmlns:a="http://schemas.openxmlformats.org/drawingml/2006/main">
          <a:pPr algn="ctr"/>
          <a:r>
            <a:rPr lang="en-US" sz="1400" b="1">
              <a:latin typeface="+mn-lt"/>
              <a:ea typeface="+mn-ea"/>
              <a:cs typeface="+mn-cs"/>
            </a:rPr>
            <a:t>EXCL. </a:t>
          </a:r>
          <a:endParaRPr lang="en-US" sz="1400"/>
        </a:p>
        <a:p xmlns:a="http://schemas.openxmlformats.org/drawingml/2006/main">
          <a:pPr algn="ctr"/>
          <a:r>
            <a:rPr lang="en-US" sz="1400" b="1">
              <a:latin typeface="+mn-lt"/>
              <a:ea typeface="+mn-ea"/>
              <a:cs typeface="+mn-cs"/>
            </a:rPr>
            <a:t>IAD &amp;</a:t>
          </a:r>
          <a:r>
            <a:rPr lang="en-US" sz="1400" b="1" baseline="0">
              <a:latin typeface="+mn-lt"/>
              <a:ea typeface="+mn-ea"/>
              <a:cs typeface="+mn-cs"/>
            </a:rPr>
            <a:t> FIRST NATIONS SA</a:t>
          </a:r>
          <a:endParaRPr lang="en-US" sz="1400" b="1">
            <a:latin typeface="+mn-lt"/>
            <a:ea typeface="+mn-ea"/>
            <a:cs typeface="+mn-cs"/>
          </a:endParaRPr>
        </a:p>
        <a:p xmlns:a="http://schemas.openxmlformats.org/drawingml/2006/main">
          <a:endParaRPr lang="en-US" sz="1100"/>
        </a:p>
      </cdr:txBody>
    </cdr:sp>
  </cdr:relSizeAnchor>
</c:userShapes>
</file>

<file path=xl/drawings/drawing22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2.xml><?xml version="1.0" encoding="utf-8"?>
<c:userShapes xmlns:c="http://schemas.openxmlformats.org/drawingml/2006/chart">
  <cdr:relSizeAnchor xmlns:cdr="http://schemas.openxmlformats.org/drawingml/2006/chartDrawing">
    <cdr:from>
      <cdr:x>0.11782</cdr:x>
      <cdr:y>0.681</cdr:y>
    </cdr:from>
    <cdr:to>
      <cdr:x>0.29406</cdr:x>
      <cdr:y>0.87795</cdr:y>
    </cdr:to>
    <cdr:sp macro="" textlink="">
      <cdr:nvSpPr>
        <cdr:cNvPr id="2" name="TextBox 1"/>
        <cdr:cNvSpPr txBox="1"/>
      </cdr:nvSpPr>
      <cdr:spPr>
        <a:xfrm xmlns:a="http://schemas.openxmlformats.org/drawingml/2006/main">
          <a:off x="1022367" y="4290627"/>
          <a:ext cx="1529298" cy="12408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INCOME</a:t>
          </a:r>
          <a:r>
            <a:rPr lang="en-US" sz="1400" b="1" baseline="0"/>
            <a:t> ASSISTANCE FOR THE DISABLED (IAD) &amp; FIRST NATIONS SA</a:t>
          </a:r>
          <a:endParaRPr lang="en-US" sz="1400" b="1"/>
        </a:p>
      </cdr:txBody>
    </cdr:sp>
  </cdr:relSizeAnchor>
  <cdr:relSizeAnchor xmlns:cdr="http://schemas.openxmlformats.org/drawingml/2006/chartDrawing">
    <cdr:from>
      <cdr:x>0.42397</cdr:x>
      <cdr:y>0.59917</cdr:y>
    </cdr:from>
    <cdr:to>
      <cdr:x>0.60725</cdr:x>
      <cdr:y>0.77531</cdr:y>
    </cdr:to>
    <cdr:sp macro="" textlink="">
      <cdr:nvSpPr>
        <cdr:cNvPr id="3" name="TextBox 2"/>
        <cdr:cNvSpPr txBox="1"/>
      </cdr:nvSpPr>
      <cdr:spPr>
        <a:xfrm xmlns:a="http://schemas.openxmlformats.org/drawingml/2006/main">
          <a:off x="3678922" y="3775045"/>
          <a:ext cx="1590413" cy="1109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a:t>
          </a:r>
          <a:r>
            <a:rPr lang="en-US" sz="1400" b="1" baseline="0"/>
            <a:t> INCOME SUPPORT FOR THE DISABLED</a:t>
          </a:r>
          <a:endParaRPr lang="en-US" sz="1400" b="1"/>
        </a:p>
      </cdr:txBody>
    </cdr:sp>
  </cdr:relSizeAnchor>
  <cdr:relSizeAnchor xmlns:cdr="http://schemas.openxmlformats.org/drawingml/2006/chartDrawing">
    <cdr:from>
      <cdr:x>0.74018</cdr:x>
      <cdr:y>0.50485</cdr:y>
    </cdr:from>
    <cdr:to>
      <cdr:x>0.91541</cdr:x>
      <cdr:y>0.75173</cdr:y>
    </cdr:to>
    <cdr:sp macro="" textlink="">
      <cdr:nvSpPr>
        <cdr:cNvPr id="4" name="TextBox 3"/>
        <cdr:cNvSpPr txBox="1"/>
      </cdr:nvSpPr>
      <cdr:spPr>
        <a:xfrm xmlns:a="http://schemas.openxmlformats.org/drawingml/2006/main">
          <a:off x="6422821" y="3180826"/>
          <a:ext cx="1520505" cy="155545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 EXCL. </a:t>
          </a:r>
        </a:p>
        <a:p xmlns:a="http://schemas.openxmlformats.org/drawingml/2006/main">
          <a:pPr algn="ctr"/>
          <a:r>
            <a:rPr lang="en-US" sz="1400" b="1"/>
            <a:t>IAD &amp;</a:t>
          </a:r>
          <a:r>
            <a:rPr lang="en-US" sz="1400" b="1" baseline="0"/>
            <a:t> FIRST NATIONS SA</a:t>
          </a:r>
          <a:endParaRPr lang="en-US" sz="1400" b="1"/>
        </a:p>
      </cdr:txBody>
    </cdr:sp>
  </cdr:relSizeAnchor>
</c:userShapes>
</file>

<file path=xl/drawings/drawing223.xml><?xml version="1.0" encoding="utf-8"?>
<xdr:wsDr xmlns:xdr="http://schemas.openxmlformats.org/drawingml/2006/spreadsheetDrawing" xmlns:a="http://schemas.openxmlformats.org/drawingml/2006/main">
  <xdr:absoluteAnchor>
    <xdr:pos x="19639" y="29458"/>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4.xml><?xml version="1.0" encoding="utf-8"?>
<xdr:wsDr xmlns:xdr="http://schemas.openxmlformats.org/drawingml/2006/spreadsheetDrawing" xmlns:a="http://schemas.openxmlformats.org/drawingml/2006/main">
  <xdr:absoluteAnchor>
    <xdr:pos x="-29459"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5.xml><?xml version="1.0" encoding="utf-8"?>
<xdr:wsDr xmlns:xdr="http://schemas.openxmlformats.org/drawingml/2006/spreadsheetDrawing" xmlns:a="http://schemas.openxmlformats.org/drawingml/2006/main">
  <xdr:absoluteAnchor>
    <xdr:pos x="10646" y="-621"/>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6.xml><?xml version="1.0" encoding="utf-8"?>
<xdr:wsDr xmlns:xdr="http://schemas.openxmlformats.org/drawingml/2006/spreadsheetDrawing" xmlns:a="http://schemas.openxmlformats.org/drawingml/2006/main">
  <xdr:absoluteAnchor>
    <xdr:pos x="0" y="0"/>
    <xdr:ext cx="8696325" cy="63055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7.xml><?xml version="1.0" encoding="utf-8"?>
<xdr:wsDr xmlns:xdr="http://schemas.openxmlformats.org/drawingml/2006/spreadsheetDrawing" xmlns:a="http://schemas.openxmlformats.org/drawingml/2006/main">
  <xdr:absoluteAnchor>
    <xdr:pos x="12973" y="23332"/>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8.xml><?xml version="1.0" encoding="utf-8"?>
<c:userShapes xmlns:c="http://schemas.openxmlformats.org/drawingml/2006/chart">
  <cdr:relSizeAnchor xmlns:cdr="http://schemas.openxmlformats.org/drawingml/2006/chartDrawing">
    <cdr:from>
      <cdr:x>0.75444</cdr:x>
      <cdr:y>0.7933</cdr:y>
    </cdr:from>
    <cdr:to>
      <cdr:x>0.95926</cdr:x>
      <cdr:y>0.95539</cdr:y>
    </cdr:to>
    <cdr:sp macro="" textlink="">
      <cdr:nvSpPr>
        <cdr:cNvPr id="3" name="TextBox 2"/>
        <cdr:cNvSpPr txBox="1"/>
      </cdr:nvSpPr>
      <cdr:spPr>
        <a:xfrm xmlns:a="http://schemas.openxmlformats.org/drawingml/2006/main">
          <a:off x="6546512" y="4998170"/>
          <a:ext cx="1777345" cy="1021237"/>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CA" sz="1100" b="1" i="1"/>
            <a:t>Revised October</a:t>
          </a:r>
          <a:r>
            <a:rPr lang="en-CA" sz="1100" b="1" i="1" baseline="0"/>
            <a:t> 2012</a:t>
          </a:r>
        </a:p>
        <a:p xmlns:a="http://schemas.openxmlformats.org/drawingml/2006/main">
          <a:r>
            <a:rPr lang="en-CA" sz="1100" i="1" baseline="0"/>
            <a:t>Income Assistance for the Disabled and First Nations SA for the disabled revised</a:t>
          </a:r>
        </a:p>
        <a:p xmlns:a="http://schemas.openxmlformats.org/drawingml/2006/main">
          <a:r>
            <a:rPr lang="en-CA" sz="1100" i="1" baseline="0"/>
            <a:t>Total revised</a:t>
          </a:r>
          <a:endParaRPr lang="en-CA" sz="1100" i="1"/>
        </a:p>
      </cdr:txBody>
    </cdr:sp>
  </cdr:relSizeAnchor>
</c:userShapes>
</file>

<file path=xl/drawings/drawing229.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0.16018</cdr:x>
      <cdr:y>0.52892</cdr:y>
    </cdr:from>
    <cdr:to>
      <cdr:x>0.33144</cdr:x>
      <cdr:y>0.74261</cdr:y>
    </cdr:to>
    <cdr:sp macro="" textlink="">
      <cdr:nvSpPr>
        <cdr:cNvPr id="2" name="TextBox 1"/>
        <cdr:cNvSpPr txBox="1"/>
      </cdr:nvSpPr>
      <cdr:spPr>
        <a:xfrm xmlns:a="http://schemas.openxmlformats.org/drawingml/2006/main">
          <a:off x="1389427" y="3330908"/>
          <a:ext cx="1485550" cy="13457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SA</a:t>
          </a:r>
          <a:r>
            <a:rPr lang="en-US" sz="1400" b="1" baseline="0"/>
            <a:t> FOR THE DISABLED</a:t>
          </a:r>
        </a:p>
        <a:p xmlns:a="http://schemas.openxmlformats.org/drawingml/2006/main">
          <a:pPr algn="ctr"/>
          <a:r>
            <a:rPr lang="en-US" sz="1200" b="1" baseline="0"/>
            <a:t>(Incl. First </a:t>
          </a:r>
        </a:p>
        <a:p xmlns:a="http://schemas.openxmlformats.org/drawingml/2006/main">
          <a:pPr algn="ctr"/>
          <a:r>
            <a:rPr lang="en-US" sz="1200" b="1" baseline="0"/>
            <a:t>Nations SA </a:t>
          </a:r>
        </a:p>
        <a:p xmlns:a="http://schemas.openxmlformats.org/drawingml/2006/main">
          <a:pPr algn="ctr"/>
          <a:r>
            <a:rPr lang="en-US" sz="1200" b="1" baseline="0"/>
            <a:t>&amp; AISH)</a:t>
          </a:r>
        </a:p>
      </cdr:txBody>
    </cdr:sp>
  </cdr:relSizeAnchor>
  <cdr:relSizeAnchor xmlns:cdr="http://schemas.openxmlformats.org/drawingml/2006/chartDrawing">
    <cdr:from>
      <cdr:x>0.42431</cdr:x>
      <cdr:y>0.64526</cdr:y>
    </cdr:from>
    <cdr:to>
      <cdr:x>0.61553</cdr:x>
      <cdr:y>0.90162</cdr:y>
    </cdr:to>
    <cdr:sp macro="" textlink="">
      <cdr:nvSpPr>
        <cdr:cNvPr id="3" name="TextBox 2"/>
        <cdr:cNvSpPr txBox="1"/>
      </cdr:nvSpPr>
      <cdr:spPr>
        <a:xfrm xmlns:a="http://schemas.openxmlformats.org/drawingml/2006/main">
          <a:off x="3680560" y="4063594"/>
          <a:ext cx="1658684" cy="16144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a:t>
          </a:r>
        </a:p>
      </cdr:txBody>
    </cdr:sp>
  </cdr:relSizeAnchor>
  <cdr:relSizeAnchor xmlns:cdr="http://schemas.openxmlformats.org/drawingml/2006/chartDrawing">
    <cdr:from>
      <cdr:x>0.70317</cdr:x>
      <cdr:y>0.69048</cdr:y>
    </cdr:from>
    <cdr:to>
      <cdr:x>0.8966</cdr:x>
      <cdr:y>0.91924</cdr:y>
    </cdr:to>
    <cdr:sp macro="" textlink="">
      <cdr:nvSpPr>
        <cdr:cNvPr id="4" name="TextBox 3"/>
        <cdr:cNvSpPr txBox="1"/>
      </cdr:nvSpPr>
      <cdr:spPr>
        <a:xfrm xmlns:a="http://schemas.openxmlformats.org/drawingml/2006/main">
          <a:off x="6099453" y="4348362"/>
          <a:ext cx="1677855" cy="14406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 EXCL.</a:t>
          </a:r>
          <a:r>
            <a:rPr lang="en-US" sz="1400" b="1" baseline="0"/>
            <a:t> SA</a:t>
          </a:r>
        </a:p>
      </cdr:txBody>
    </cdr:sp>
  </cdr:relSizeAnchor>
  <cdr:relSizeAnchor xmlns:cdr="http://schemas.openxmlformats.org/drawingml/2006/chartDrawing">
    <cdr:from>
      <cdr:x>0.77269</cdr:x>
      <cdr:y>0.24862</cdr:y>
    </cdr:from>
    <cdr:to>
      <cdr:x>0.91977</cdr:x>
      <cdr:y>0.2958</cdr:y>
    </cdr:to>
    <cdr:sp macro="" textlink="">
      <cdr:nvSpPr>
        <cdr:cNvPr id="5" name="TextBox 4"/>
        <cdr:cNvSpPr txBox="1"/>
      </cdr:nvSpPr>
      <cdr:spPr>
        <a:xfrm xmlns:a="http://schemas.openxmlformats.org/drawingml/2006/main">
          <a:off x="6702453" y="1565709"/>
          <a:ext cx="1275827" cy="297120"/>
        </a:xfrm>
        <a:prstGeom xmlns:a="http://schemas.openxmlformats.org/drawingml/2006/main" prst="rect">
          <a:avLst/>
        </a:prstGeom>
        <a:solidFill xmlns:a="http://schemas.openxmlformats.org/drawingml/2006/main">
          <a:srgbClr val="FFC000"/>
        </a:solidFill>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100" b="1" i="1"/>
            <a:t>Revised</a:t>
          </a:r>
          <a:r>
            <a:rPr lang="en-US" sz="1100" b="1" i="1" baseline="0"/>
            <a:t>  Oct. 2012</a:t>
          </a:r>
          <a:endParaRPr lang="en-US" sz="1100" b="1" i="1"/>
        </a:p>
      </cdr:txBody>
    </cdr:sp>
  </cdr:relSizeAnchor>
</c:userShapes>
</file>

<file path=xl/drawings/drawing230.xml><?xml version="1.0" encoding="utf-8"?>
<c:userShapes xmlns:c="http://schemas.openxmlformats.org/drawingml/2006/chart">
  <cdr:relSizeAnchor xmlns:cdr="http://schemas.openxmlformats.org/drawingml/2006/chartDrawing">
    <cdr:from>
      <cdr:x>0.79275</cdr:x>
      <cdr:y>0.22309</cdr:y>
    </cdr:from>
    <cdr:to>
      <cdr:x>0.9513</cdr:x>
      <cdr:y>0.29329</cdr:y>
    </cdr:to>
    <cdr:sp macro="" textlink="">
      <cdr:nvSpPr>
        <cdr:cNvPr id="2" name="TextBox 1"/>
        <cdr:cNvSpPr txBox="1"/>
      </cdr:nvSpPr>
      <cdr:spPr>
        <a:xfrm xmlns:a="http://schemas.openxmlformats.org/drawingml/2006/main">
          <a:off x="6873712" y="1404201"/>
          <a:ext cx="1374742" cy="441881"/>
        </a:xfrm>
        <a:prstGeom xmlns:a="http://schemas.openxmlformats.org/drawingml/2006/main" prst="rect">
          <a:avLst/>
        </a:prstGeom>
        <a:solidFill xmlns:a="http://schemas.openxmlformats.org/drawingml/2006/main">
          <a:schemeClr val="accent3">
            <a:lumMod val="20000"/>
            <a:lumOff val="80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en-CA" sz="1100" b="1"/>
            <a:t>SAID</a:t>
          </a:r>
          <a:r>
            <a:rPr lang="en-CA" sz="1100" b="1" baseline="0"/>
            <a:t> was introduced in 2009</a:t>
          </a:r>
          <a:endParaRPr lang="en-CA" sz="1100" b="1"/>
        </a:p>
      </cdr:txBody>
    </cdr:sp>
  </cdr:relSizeAnchor>
</c:userShapes>
</file>

<file path=xl/drawings/drawing231.xml><?xml version="1.0" encoding="utf-8"?>
<xdr:wsDr xmlns:xdr="http://schemas.openxmlformats.org/drawingml/2006/spreadsheetDrawing" xmlns:a="http://schemas.openxmlformats.org/drawingml/2006/main">
  <xdr:absoluteAnchor>
    <xdr:pos x="26216"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2.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3.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4.xml><?xml version="1.0" encoding="utf-8"?>
<c:userShapes xmlns:c="http://schemas.openxmlformats.org/drawingml/2006/chart">
  <cdr:relSizeAnchor xmlns:cdr="http://schemas.openxmlformats.org/drawingml/2006/chartDrawing">
    <cdr:from>
      <cdr:x>0.76557</cdr:x>
      <cdr:y>0.22309</cdr:y>
    </cdr:from>
    <cdr:to>
      <cdr:x>0.92525</cdr:x>
      <cdr:y>0.26989</cdr:y>
    </cdr:to>
    <cdr:sp macro="" textlink="">
      <cdr:nvSpPr>
        <cdr:cNvPr id="2" name="TextBox 1"/>
        <cdr:cNvSpPr txBox="1"/>
      </cdr:nvSpPr>
      <cdr:spPr>
        <a:xfrm xmlns:a="http://schemas.openxmlformats.org/drawingml/2006/main">
          <a:off x="6638041" y="1404201"/>
          <a:ext cx="1384562" cy="294588"/>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CA" sz="1100" b="1">
              <a:solidFill>
                <a:schemeClr val="bg1"/>
              </a:solidFill>
            </a:rPr>
            <a:t>2005-06 to 2009-10</a:t>
          </a:r>
        </a:p>
      </cdr:txBody>
    </cdr:sp>
  </cdr:relSizeAnchor>
  <cdr:relSizeAnchor xmlns:cdr="http://schemas.openxmlformats.org/drawingml/2006/chartDrawing">
    <cdr:from>
      <cdr:x>0.7667</cdr:x>
      <cdr:y>0.28081</cdr:y>
    </cdr:from>
    <cdr:to>
      <cdr:x>0.92525</cdr:x>
      <cdr:y>0.32449</cdr:y>
    </cdr:to>
    <cdr:sp macro="" textlink="">
      <cdr:nvSpPr>
        <cdr:cNvPr id="3" name="TextBox 2"/>
        <cdr:cNvSpPr txBox="1"/>
      </cdr:nvSpPr>
      <cdr:spPr>
        <a:xfrm xmlns:a="http://schemas.openxmlformats.org/drawingml/2006/main">
          <a:off x="6647861" y="1767526"/>
          <a:ext cx="1374741" cy="274948"/>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2010-11</a:t>
          </a:r>
        </a:p>
        <a:p xmlns:a="http://schemas.openxmlformats.org/drawingml/2006/main">
          <a:endParaRPr lang="en-CA" sz="1100"/>
        </a:p>
      </cdr:txBody>
    </cdr:sp>
  </cdr:relSizeAnchor>
  <cdr:relSizeAnchor xmlns:cdr="http://schemas.openxmlformats.org/drawingml/2006/chartDrawing">
    <cdr:from>
      <cdr:x>0.7667</cdr:x>
      <cdr:y>0.33853</cdr:y>
    </cdr:from>
    <cdr:to>
      <cdr:x>0.92752</cdr:x>
      <cdr:y>0.39002</cdr:y>
    </cdr:to>
    <cdr:sp macro="" textlink="">
      <cdr:nvSpPr>
        <cdr:cNvPr id="4" name="TextBox 3"/>
        <cdr:cNvSpPr txBox="1"/>
      </cdr:nvSpPr>
      <cdr:spPr>
        <a:xfrm xmlns:a="http://schemas.openxmlformats.org/drawingml/2006/main">
          <a:off x="6647861" y="2130852"/>
          <a:ext cx="1394381" cy="324046"/>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2011-12</a:t>
          </a:r>
        </a:p>
        <a:p xmlns:a="http://schemas.openxmlformats.org/drawingml/2006/main">
          <a:endParaRPr lang="en-CA" sz="1100"/>
        </a:p>
      </cdr:txBody>
    </cdr:sp>
  </cdr:relSizeAnchor>
</c:userShapes>
</file>

<file path=xl/drawings/drawing23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6.xml><?xml version="1.0" encoding="utf-8"?>
<c:userShapes xmlns:c="http://schemas.openxmlformats.org/drawingml/2006/chart">
  <cdr:relSizeAnchor xmlns:cdr="http://schemas.openxmlformats.org/drawingml/2006/chartDrawing">
    <cdr:from>
      <cdr:x>0.74895</cdr:x>
      <cdr:y>0.21272</cdr:y>
    </cdr:from>
    <cdr:to>
      <cdr:x>0.89078</cdr:x>
      <cdr:y>0.24884</cdr:y>
    </cdr:to>
    <cdr:sp macro="" textlink="">
      <cdr:nvSpPr>
        <cdr:cNvPr id="2" name="TextBox 1"/>
        <cdr:cNvSpPr txBox="1"/>
      </cdr:nvSpPr>
      <cdr:spPr>
        <a:xfrm xmlns:a="http://schemas.openxmlformats.org/drawingml/2006/main">
          <a:off x="6498916" y="1340243"/>
          <a:ext cx="1230664" cy="227589"/>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lstStyle xmlns:a="http://schemas.openxmlformats.org/drawingml/2006/main"/>
        <a:p xmlns:a="http://schemas.openxmlformats.org/drawingml/2006/main">
          <a:r>
            <a:rPr lang="en-US" sz="900" b="1"/>
            <a:t>2005-06 to 2009-10</a:t>
          </a:r>
        </a:p>
      </cdr:txBody>
    </cdr:sp>
  </cdr:relSizeAnchor>
  <cdr:relSizeAnchor xmlns:cdr="http://schemas.openxmlformats.org/drawingml/2006/chartDrawing">
    <cdr:from>
      <cdr:x>0.74895</cdr:x>
      <cdr:y>0.25687</cdr:y>
    </cdr:from>
    <cdr:to>
      <cdr:x>0.89078</cdr:x>
      <cdr:y>0.29701</cdr:y>
    </cdr:to>
    <cdr:sp macro="" textlink="">
      <cdr:nvSpPr>
        <cdr:cNvPr id="3" name="TextBox 2"/>
        <cdr:cNvSpPr txBox="1"/>
      </cdr:nvSpPr>
      <cdr:spPr>
        <a:xfrm xmlns:a="http://schemas.openxmlformats.org/drawingml/2006/main">
          <a:off x="6498916" y="1618408"/>
          <a:ext cx="1230664" cy="252876"/>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US" sz="1000" b="1"/>
            <a:t>2005-06 to 2010-11</a:t>
          </a:r>
        </a:p>
      </cdr:txBody>
    </cdr:sp>
  </cdr:relSizeAnchor>
</c:userShapes>
</file>

<file path=xl/drawings/drawing237.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8.xml><?xml version="1.0" encoding="utf-8"?>
<c:userShapes xmlns:c="http://schemas.openxmlformats.org/drawingml/2006/chart">
  <cdr:relSizeAnchor xmlns:cdr="http://schemas.openxmlformats.org/drawingml/2006/chartDrawing">
    <cdr:from>
      <cdr:x>0.11552</cdr:x>
      <cdr:y>0.60998</cdr:y>
    </cdr:from>
    <cdr:to>
      <cdr:x>0.28992</cdr:x>
      <cdr:y>0.80967</cdr:y>
    </cdr:to>
    <cdr:sp macro="" textlink="">
      <cdr:nvSpPr>
        <cdr:cNvPr id="2" name="TextBox 1"/>
        <cdr:cNvSpPr txBox="1"/>
      </cdr:nvSpPr>
      <cdr:spPr>
        <a:xfrm xmlns:a="http://schemas.openxmlformats.org/drawingml/2006/main">
          <a:off x="1001639" y="3839459"/>
          <a:ext cx="1512169" cy="1256907"/>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 ASSISTANCE FOR THE DISABLED (IAD) &amp;</a:t>
          </a:r>
          <a:r>
            <a:rPr lang="en-US" sz="1400" b="1" baseline="0">
              <a:latin typeface="+mn-lt"/>
              <a:ea typeface="+mn-ea"/>
              <a:cs typeface="+mn-cs"/>
            </a:rPr>
            <a:t> FIRST NATIONS SA</a:t>
          </a:r>
          <a:endParaRPr lang="en-US" sz="14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0.43375</cdr:x>
      <cdr:y>0.5819</cdr:y>
    </cdr:from>
    <cdr:to>
      <cdr:x>0.60702</cdr:x>
      <cdr:y>0.71451</cdr:y>
    </cdr:to>
    <cdr:sp macro="" textlink="">
      <cdr:nvSpPr>
        <cdr:cNvPr id="3" name="TextBox 2"/>
        <cdr:cNvSpPr txBox="1"/>
      </cdr:nvSpPr>
      <cdr:spPr>
        <a:xfrm xmlns:a="http://schemas.openxmlformats.org/drawingml/2006/main">
          <a:off x="3760914" y="3662706"/>
          <a:ext cx="1502385" cy="834665"/>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endParaRPr lang="en-CA" sz="1400"/>
        </a:p>
      </cdr:txBody>
    </cdr:sp>
  </cdr:relSizeAnchor>
  <cdr:relSizeAnchor xmlns:cdr="http://schemas.openxmlformats.org/drawingml/2006/chartDrawing">
    <cdr:from>
      <cdr:x>0.74519</cdr:x>
      <cdr:y>0.55382</cdr:y>
    </cdr:from>
    <cdr:to>
      <cdr:x>0.91733</cdr:x>
      <cdr:y>0.78627</cdr:y>
    </cdr:to>
    <cdr:sp macro="" textlink="">
      <cdr:nvSpPr>
        <cdr:cNvPr id="4" name="TextBox 3"/>
        <cdr:cNvSpPr txBox="1"/>
      </cdr:nvSpPr>
      <cdr:spPr>
        <a:xfrm xmlns:a="http://schemas.openxmlformats.org/drawingml/2006/main">
          <a:off x="6461316" y="3485955"/>
          <a:ext cx="1492550" cy="1463117"/>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 </a:t>
          </a:r>
          <a:endParaRPr lang="en-US" sz="1400">
            <a:latin typeface="+mn-lt"/>
            <a:ea typeface="+mn-ea"/>
            <a:cs typeface="+mn-cs"/>
          </a:endParaRPr>
        </a:p>
        <a:p xmlns:a="http://schemas.openxmlformats.org/drawingml/2006/main">
          <a:pPr algn="ctr"/>
          <a:r>
            <a:rPr lang="en-US" sz="1400" b="1">
              <a:latin typeface="+mn-lt"/>
              <a:ea typeface="+mn-ea"/>
              <a:cs typeface="+mn-cs"/>
            </a:rPr>
            <a:t>EXCL. </a:t>
          </a:r>
          <a:endParaRPr lang="en-US" sz="1400">
            <a:latin typeface="+mn-lt"/>
            <a:ea typeface="+mn-ea"/>
            <a:cs typeface="+mn-cs"/>
          </a:endParaRPr>
        </a:p>
        <a:p xmlns:a="http://schemas.openxmlformats.org/drawingml/2006/main">
          <a:pPr algn="ctr"/>
          <a:r>
            <a:rPr lang="en-US" sz="1400" b="1">
              <a:latin typeface="+mn-lt"/>
              <a:ea typeface="+mn-ea"/>
              <a:cs typeface="+mn-cs"/>
            </a:rPr>
            <a:t>IAD &amp; FIRST NATIONS SA</a:t>
          </a:r>
        </a:p>
        <a:p xmlns:a="http://schemas.openxmlformats.org/drawingml/2006/main">
          <a:endParaRPr lang="en-CA" sz="1100"/>
        </a:p>
      </cdr:txBody>
    </cdr:sp>
  </cdr:relSizeAnchor>
</c:userShapes>
</file>

<file path=xl/drawings/drawing239.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0.xml><?xml version="1.0" encoding="utf-8"?>
<c:userShapes xmlns:c="http://schemas.openxmlformats.org/drawingml/2006/chart">
  <cdr:relSizeAnchor xmlns:cdr="http://schemas.openxmlformats.org/drawingml/2006/chartDrawing">
    <cdr:from>
      <cdr:x>0.09668</cdr:x>
      <cdr:y>0.54369</cdr:y>
    </cdr:from>
    <cdr:to>
      <cdr:x>0.30312</cdr:x>
      <cdr:y>0.70042</cdr:y>
    </cdr:to>
    <cdr:sp macro="" textlink="">
      <cdr:nvSpPr>
        <cdr:cNvPr id="2" name="TextBox 1"/>
        <cdr:cNvSpPr txBox="1"/>
      </cdr:nvSpPr>
      <cdr:spPr>
        <a:xfrm xmlns:a="http://schemas.openxmlformats.org/drawingml/2006/main">
          <a:off x="838899" y="3425506"/>
          <a:ext cx="1791399" cy="987454"/>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INCOME ASSISTANCE FOR THE DISABLED (IAD) &amp;</a:t>
          </a:r>
          <a:r>
            <a:rPr lang="en-US" sz="1400" b="1" baseline="0">
              <a:latin typeface="+mn-lt"/>
              <a:ea typeface="+mn-ea"/>
              <a:cs typeface="+mn-cs"/>
            </a:rPr>
            <a:t> FIRST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0.4149</cdr:x>
      <cdr:y>0.5853</cdr:y>
    </cdr:from>
    <cdr:to>
      <cdr:x>0.61329</cdr:x>
      <cdr:y>0.71151</cdr:y>
    </cdr:to>
    <cdr:sp macro="" textlink="">
      <cdr:nvSpPr>
        <cdr:cNvPr id="3" name="TextBox 2"/>
        <cdr:cNvSpPr txBox="1"/>
      </cdr:nvSpPr>
      <cdr:spPr>
        <a:xfrm xmlns:a="http://schemas.openxmlformats.org/drawingml/2006/main">
          <a:off x="3600274" y="3687661"/>
          <a:ext cx="1721491" cy="79520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0.72709</cdr:x>
      <cdr:y>0.62654</cdr:y>
    </cdr:from>
    <cdr:to>
      <cdr:x>0.92346</cdr:x>
      <cdr:y>0.86499</cdr:y>
    </cdr:to>
    <cdr:sp macro="" textlink="">
      <cdr:nvSpPr>
        <cdr:cNvPr id="4" name="TextBox 3"/>
        <cdr:cNvSpPr txBox="1"/>
      </cdr:nvSpPr>
      <cdr:spPr>
        <a:xfrm xmlns:a="http://schemas.openxmlformats.org/drawingml/2006/main">
          <a:off x="6309223" y="3947473"/>
          <a:ext cx="1703974" cy="1502397"/>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 </a:t>
          </a:r>
          <a:endParaRPr lang="en-US" sz="1400">
            <a:latin typeface="+mn-lt"/>
            <a:ea typeface="+mn-ea"/>
            <a:cs typeface="+mn-cs"/>
          </a:endParaRPr>
        </a:p>
        <a:p xmlns:a="http://schemas.openxmlformats.org/drawingml/2006/main">
          <a:pPr algn="ctr"/>
          <a:r>
            <a:rPr lang="en-US" sz="1400" b="1">
              <a:latin typeface="+mn-lt"/>
              <a:ea typeface="+mn-ea"/>
              <a:cs typeface="+mn-cs"/>
            </a:rPr>
            <a:t>EXCL. </a:t>
          </a:r>
          <a:endParaRPr lang="en-US" sz="1400">
            <a:latin typeface="+mn-lt"/>
            <a:ea typeface="+mn-ea"/>
            <a:cs typeface="+mn-cs"/>
          </a:endParaRPr>
        </a:p>
        <a:p xmlns:a="http://schemas.openxmlformats.org/drawingml/2006/main">
          <a:pPr algn="ctr"/>
          <a:r>
            <a:rPr lang="en-US" sz="1400" b="1">
              <a:latin typeface="+mn-lt"/>
              <a:ea typeface="+mn-ea"/>
              <a:cs typeface="+mn-cs"/>
            </a:rPr>
            <a:t>IAD &amp; FIRST NATIONS SA</a:t>
          </a:r>
          <a:endParaRPr lang="en-US" sz="1400">
            <a:latin typeface="+mn-lt"/>
            <a:ea typeface="+mn-ea"/>
            <a:cs typeface="+mn-cs"/>
          </a:endParaRPr>
        </a:p>
        <a:p xmlns:a="http://schemas.openxmlformats.org/drawingml/2006/main">
          <a:endParaRPr lang="en-US" sz="1100"/>
        </a:p>
      </cdr:txBody>
    </cdr:sp>
  </cdr:relSizeAnchor>
</c:userShapes>
</file>

<file path=xl/drawings/drawing24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2.xml><?xml version="1.0" encoding="utf-8"?>
<c:userShapes xmlns:c="http://schemas.openxmlformats.org/drawingml/2006/chart">
  <cdr:relSizeAnchor xmlns:cdr="http://schemas.openxmlformats.org/drawingml/2006/chartDrawing">
    <cdr:from>
      <cdr:x>0.11682</cdr:x>
      <cdr:y>0.7129</cdr:y>
    </cdr:from>
    <cdr:to>
      <cdr:x>0.28399</cdr:x>
      <cdr:y>0.86546</cdr:y>
    </cdr:to>
    <cdr:sp macro="" textlink="">
      <cdr:nvSpPr>
        <cdr:cNvPr id="2" name="TextBox 1"/>
        <cdr:cNvSpPr txBox="1"/>
      </cdr:nvSpPr>
      <cdr:spPr>
        <a:xfrm xmlns:a="http://schemas.openxmlformats.org/drawingml/2006/main">
          <a:off x="1013670" y="4491606"/>
          <a:ext cx="1450596" cy="9612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0.41692</cdr:x>
      <cdr:y>0.68264</cdr:y>
    </cdr:from>
    <cdr:to>
      <cdr:x>0.60222</cdr:x>
      <cdr:y>0.87746</cdr:y>
    </cdr:to>
    <cdr:sp macro="" textlink="">
      <cdr:nvSpPr>
        <cdr:cNvPr id="3" name="TextBox 2"/>
        <cdr:cNvSpPr txBox="1"/>
      </cdr:nvSpPr>
      <cdr:spPr>
        <a:xfrm xmlns:a="http://schemas.openxmlformats.org/drawingml/2006/main">
          <a:off x="3617766" y="4300978"/>
          <a:ext cx="1607915" cy="12274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PERSONS WITH DISABILITIES</a:t>
          </a:r>
          <a:endParaRPr lang="en-US" sz="1100"/>
        </a:p>
      </cdr:txBody>
    </cdr:sp>
  </cdr:relSizeAnchor>
  <cdr:relSizeAnchor xmlns:cdr="http://schemas.openxmlformats.org/drawingml/2006/chartDrawing">
    <cdr:from>
      <cdr:x>0.71972</cdr:x>
      <cdr:y>0.76213</cdr:y>
    </cdr:from>
    <cdr:to>
      <cdr:x>0.93473</cdr:x>
      <cdr:y>0.98656</cdr:y>
    </cdr:to>
    <cdr:sp macro="" textlink="">
      <cdr:nvSpPr>
        <cdr:cNvPr id="4" name="TextBox 3"/>
        <cdr:cNvSpPr txBox="1"/>
      </cdr:nvSpPr>
      <cdr:spPr>
        <a:xfrm xmlns:a="http://schemas.openxmlformats.org/drawingml/2006/main">
          <a:off x="6245258" y="4801777"/>
          <a:ext cx="1865721" cy="14140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a:t>
          </a:r>
        </a:p>
        <a:p xmlns:a="http://schemas.openxmlformats.org/drawingml/2006/main">
          <a:pPr algn="ctr"/>
          <a:r>
            <a:rPr lang="en-US" sz="1400" b="1">
              <a:latin typeface="+mn-lt"/>
              <a:ea typeface="+mn-ea"/>
              <a:cs typeface="+mn-cs"/>
            </a:rPr>
            <a:t>PWD </a:t>
          </a:r>
          <a:endParaRPr lang="en-US" sz="1400"/>
        </a:p>
        <a:p xmlns:a="http://schemas.openxmlformats.org/drawingml/2006/main">
          <a:pPr algn="ctr"/>
          <a:r>
            <a:rPr lang="en-US" sz="1400" b="1">
              <a:latin typeface="+mn-lt"/>
              <a:ea typeface="+mn-ea"/>
              <a:cs typeface="+mn-cs"/>
            </a:rPr>
            <a:t>EXCL. </a:t>
          </a:r>
          <a:endParaRPr lang="en-US" sz="1400"/>
        </a:p>
        <a:p xmlns:a="http://schemas.openxmlformats.org/drawingml/2006/main">
          <a:pPr algn="ctr"/>
          <a:r>
            <a:rPr lang="en-US" sz="1400" b="1">
              <a:latin typeface="+mn-lt"/>
              <a:ea typeface="+mn-ea"/>
              <a:cs typeface="+mn-cs"/>
            </a:rPr>
            <a:t>SAP, FIRST NATIONS SA &amp;  SAID</a:t>
          </a:r>
          <a:endParaRPr lang="en-US" sz="1400"/>
        </a:p>
        <a:p xmlns:a="http://schemas.openxmlformats.org/drawingml/2006/main">
          <a:endParaRPr lang="en-US" sz="1100"/>
        </a:p>
      </cdr:txBody>
    </cdr:sp>
  </cdr:relSizeAnchor>
  <cdr:relSizeAnchor xmlns:cdr="http://schemas.openxmlformats.org/drawingml/2006/chartDrawing">
    <cdr:from>
      <cdr:x>0.11581</cdr:x>
      <cdr:y>0.3834</cdr:y>
    </cdr:from>
    <cdr:to>
      <cdr:x>0.29003</cdr:x>
      <cdr:y>0.93065</cdr:y>
    </cdr:to>
    <cdr:sp macro="" textlink="">
      <cdr:nvSpPr>
        <cdr:cNvPr id="5" name="TextBox 4"/>
        <cdr:cNvSpPr txBox="1"/>
      </cdr:nvSpPr>
      <cdr:spPr>
        <a:xfrm xmlns:a="http://schemas.openxmlformats.org/drawingml/2006/main">
          <a:off x="1004925" y="2415619"/>
          <a:ext cx="1511770" cy="3447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SASKATCHEWAN</a:t>
          </a:r>
          <a:r>
            <a:rPr lang="en-US" sz="1400" b="1" baseline="0">
              <a:latin typeface="+mn-lt"/>
              <a:ea typeface="+mn-ea"/>
              <a:cs typeface="+mn-cs"/>
            </a:rPr>
            <a:t> ASSISTANCE PLAN  (SAP) </a:t>
          </a:r>
          <a:r>
            <a:rPr lang="en-US" sz="1400" b="1">
              <a:latin typeface="+mn-lt"/>
              <a:ea typeface="+mn-ea"/>
              <a:cs typeface="+mn-cs"/>
            </a:rPr>
            <a:t>ASSISTANCE FOR PERSONS WITH DISABILITIES, </a:t>
          </a:r>
          <a:r>
            <a:rPr lang="en-US" sz="1400" b="1" baseline="0">
              <a:latin typeface="+mn-lt"/>
              <a:ea typeface="+mn-ea"/>
              <a:cs typeface="+mn-cs"/>
            </a:rPr>
            <a:t> FIRST NATIONS SA AND SASKATCHEWAN ASSURED INCOME FOR DISABILITY (SAID)</a:t>
          </a:r>
          <a:endParaRPr lang="en-US" sz="1400" b="1">
            <a:latin typeface="+mn-lt"/>
            <a:ea typeface="+mn-ea"/>
            <a:cs typeface="+mn-cs"/>
          </a:endParaRPr>
        </a:p>
        <a:p xmlns:a="http://schemas.openxmlformats.org/drawingml/2006/main">
          <a:endParaRPr lang="en-US" sz="1100"/>
        </a:p>
      </cdr:txBody>
    </cdr:sp>
  </cdr:relSizeAnchor>
</c:userShapes>
</file>

<file path=xl/drawings/drawing24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4.xml><?xml version="1.0" encoding="utf-8"?>
<c:userShapes xmlns:c="http://schemas.openxmlformats.org/drawingml/2006/chart">
  <cdr:relSizeAnchor xmlns:cdr="http://schemas.openxmlformats.org/drawingml/2006/chartDrawing">
    <cdr:from>
      <cdr:x>0.1148</cdr:x>
      <cdr:y>0.51734</cdr:y>
    </cdr:from>
    <cdr:to>
      <cdr:x>0.29507</cdr:x>
      <cdr:y>0.7656</cdr:y>
    </cdr:to>
    <cdr:sp macro="" textlink="">
      <cdr:nvSpPr>
        <cdr:cNvPr id="2" name="TextBox 1"/>
        <cdr:cNvSpPr txBox="1"/>
      </cdr:nvSpPr>
      <cdr:spPr>
        <a:xfrm xmlns:a="http://schemas.openxmlformats.org/drawingml/2006/main">
          <a:off x="996161" y="3259491"/>
          <a:ext cx="1564268" cy="1564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INCOME ASSISTANCE FOR THE DISABLED (IAD) &amp;</a:t>
          </a:r>
          <a:r>
            <a:rPr lang="en-US" sz="1400" b="1" baseline="0"/>
            <a:t> FIRST NATIONS SA</a:t>
          </a:r>
          <a:endParaRPr lang="en-US" sz="1400" b="1"/>
        </a:p>
      </cdr:txBody>
    </cdr:sp>
  </cdr:relSizeAnchor>
  <cdr:relSizeAnchor xmlns:cdr="http://schemas.openxmlformats.org/drawingml/2006/chartDrawing">
    <cdr:from>
      <cdr:x>0.42598</cdr:x>
      <cdr:y>0.60888</cdr:y>
    </cdr:from>
    <cdr:to>
      <cdr:x>0.60524</cdr:x>
      <cdr:y>0.90014</cdr:y>
    </cdr:to>
    <cdr:sp macro="" textlink="">
      <cdr:nvSpPr>
        <cdr:cNvPr id="3" name="TextBox 2"/>
        <cdr:cNvSpPr txBox="1"/>
      </cdr:nvSpPr>
      <cdr:spPr>
        <a:xfrm xmlns:a="http://schemas.openxmlformats.org/drawingml/2006/main">
          <a:off x="3696383" y="3836216"/>
          <a:ext cx="1555504" cy="1835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a:t>
          </a:r>
        </a:p>
      </cdr:txBody>
    </cdr:sp>
  </cdr:relSizeAnchor>
  <cdr:relSizeAnchor xmlns:cdr="http://schemas.openxmlformats.org/drawingml/2006/chartDrawing">
    <cdr:from>
      <cdr:x>0.73817</cdr:x>
      <cdr:y>0.62275</cdr:y>
    </cdr:from>
    <cdr:to>
      <cdr:x>0.92145</cdr:x>
      <cdr:y>0.92233</cdr:y>
    </cdr:to>
    <cdr:sp macro="" textlink="">
      <cdr:nvSpPr>
        <cdr:cNvPr id="4" name="TextBox 3"/>
        <cdr:cNvSpPr txBox="1"/>
      </cdr:nvSpPr>
      <cdr:spPr>
        <a:xfrm xmlns:a="http://schemas.openxmlformats.org/drawingml/2006/main">
          <a:off x="6405368" y="3923601"/>
          <a:ext cx="1590387" cy="18875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 </a:t>
          </a:r>
        </a:p>
        <a:p xmlns:a="http://schemas.openxmlformats.org/drawingml/2006/main">
          <a:pPr algn="ctr"/>
          <a:r>
            <a:rPr lang="en-US" sz="1400" b="1"/>
            <a:t>EXCL. </a:t>
          </a:r>
        </a:p>
        <a:p xmlns:a="http://schemas.openxmlformats.org/drawingml/2006/main">
          <a:pPr algn="ctr"/>
          <a:r>
            <a:rPr lang="en-US" sz="1400" b="1"/>
            <a:t>IAD &amp; FIRST NATIONS SA</a:t>
          </a:r>
        </a:p>
      </cdr:txBody>
    </cdr:sp>
  </cdr:relSizeAnchor>
  <cdr:relSizeAnchor xmlns:cdr="http://schemas.openxmlformats.org/drawingml/2006/chartDrawing">
    <cdr:from>
      <cdr:x>0.76385</cdr:x>
      <cdr:y>0.19794</cdr:y>
    </cdr:from>
    <cdr:to>
      <cdr:x>0.93926</cdr:x>
      <cdr:y>0.24002</cdr:y>
    </cdr:to>
    <cdr:sp macro="" textlink="">
      <cdr:nvSpPr>
        <cdr:cNvPr id="5" name="TextBox 4"/>
        <cdr:cNvSpPr txBox="1"/>
      </cdr:nvSpPr>
      <cdr:spPr>
        <a:xfrm xmlns:a="http://schemas.openxmlformats.org/drawingml/2006/main">
          <a:off x="6628222" y="1247088"/>
          <a:ext cx="1522036" cy="265128"/>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CA" sz="1100" b="1" i="1"/>
            <a:t>Revised October 2012</a:t>
          </a:r>
        </a:p>
      </cdr:txBody>
    </cdr:sp>
  </cdr:relSizeAnchor>
</c:userShapes>
</file>

<file path=xl/drawings/drawing245.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6.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7.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8.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9.xml><?xml version="1.0" encoding="utf-8"?>
<xdr:wsDr xmlns:xdr="http://schemas.openxmlformats.org/drawingml/2006/spreadsheetDrawing" xmlns:a="http://schemas.openxmlformats.org/drawingml/2006/main">
  <xdr:absoluteAnchor>
    <xdr:pos x="-26216" y="-17477"/>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0.xml><?xml version="1.0" encoding="utf-8"?>
<c:userShapes xmlns:c="http://schemas.openxmlformats.org/drawingml/2006/chart">
  <cdr:relSizeAnchor xmlns:cdr="http://schemas.openxmlformats.org/drawingml/2006/chartDrawing">
    <cdr:from>
      <cdr:x>0.08459</cdr:x>
      <cdr:y>0.14979</cdr:y>
    </cdr:from>
    <cdr:to>
      <cdr:x>0.29204</cdr:x>
      <cdr:y>0.24549</cdr:y>
    </cdr:to>
    <cdr:sp macro="" textlink="">
      <cdr:nvSpPr>
        <cdr:cNvPr id="2" name="TextBox 1"/>
        <cdr:cNvSpPr txBox="1"/>
      </cdr:nvSpPr>
      <cdr:spPr>
        <a:xfrm xmlns:a="http://schemas.openxmlformats.org/drawingml/2006/main">
          <a:off x="734037" y="943761"/>
          <a:ext cx="1800137" cy="602959"/>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pPr algn="ctr"/>
          <a:r>
            <a:rPr lang="en-US" sz="1000" b="1" i="1"/>
            <a:t>SA includes provincial SA programs,</a:t>
          </a:r>
          <a:r>
            <a:rPr lang="en-US" sz="1000" b="1" i="1" baseline="0"/>
            <a:t> </a:t>
          </a:r>
          <a:r>
            <a:rPr lang="en-US" sz="1000" b="1" i="1"/>
            <a:t> First Nations SA , and Alberta's AISH program</a:t>
          </a:r>
        </a:p>
      </cdr:txBody>
    </cdr:sp>
  </cdr:relSizeAnchor>
  <cdr:relSizeAnchor xmlns:cdr="http://schemas.openxmlformats.org/drawingml/2006/chartDrawing">
    <cdr:from>
      <cdr:x>0.10696</cdr:x>
      <cdr:y>0.39209</cdr:y>
    </cdr:from>
    <cdr:to>
      <cdr:x>0.24781</cdr:x>
      <cdr:y>0.42955</cdr:y>
    </cdr:to>
    <cdr:sp macro="" textlink="">
      <cdr:nvSpPr>
        <cdr:cNvPr id="3" name="TextBox 2"/>
        <cdr:cNvSpPr txBox="1"/>
      </cdr:nvSpPr>
      <cdr:spPr>
        <a:xfrm xmlns:a="http://schemas.openxmlformats.org/drawingml/2006/main">
          <a:off x="928140" y="2470375"/>
          <a:ext cx="1222235" cy="23601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endParaRPr lang="en-US" sz="1000" b="1"/>
        </a:p>
      </cdr:txBody>
    </cdr:sp>
  </cdr:relSizeAnchor>
  <cdr:relSizeAnchor xmlns:cdr="http://schemas.openxmlformats.org/drawingml/2006/chartDrawing">
    <cdr:from>
      <cdr:x>0.10696</cdr:x>
      <cdr:y>0.44828</cdr:y>
    </cdr:from>
    <cdr:to>
      <cdr:x>0.24879</cdr:x>
      <cdr:y>0.48976</cdr:y>
    </cdr:to>
    <cdr:sp macro="" textlink="">
      <cdr:nvSpPr>
        <cdr:cNvPr id="4" name="TextBox 3"/>
        <cdr:cNvSpPr txBox="1"/>
      </cdr:nvSpPr>
      <cdr:spPr>
        <a:xfrm xmlns:a="http://schemas.openxmlformats.org/drawingml/2006/main">
          <a:off x="928141" y="2824401"/>
          <a:ext cx="1230663" cy="26130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endParaRPr lang="en-US" sz="1000" b="1"/>
        </a:p>
      </cdr:txBody>
    </cdr:sp>
  </cdr:relSizeAnchor>
</c:userShapes>
</file>

<file path=xl/drawings/drawing25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2.xml><?xml version="1.0" encoding="utf-8"?>
<xdr:wsDr xmlns:xdr="http://schemas.openxmlformats.org/drawingml/2006/spreadsheetDrawing" xmlns:a="http://schemas.openxmlformats.org/drawingml/2006/main">
  <xdr:absoluteAnchor>
    <xdr:pos x="12973" y="-29459"/>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3.xml><?xml version="1.0" encoding="utf-8"?>
<c:userShapes xmlns:c="http://schemas.openxmlformats.org/drawingml/2006/chart">
  <cdr:relSizeAnchor xmlns:cdr="http://schemas.openxmlformats.org/drawingml/2006/chartDrawing">
    <cdr:from>
      <cdr:x>0.05136</cdr:x>
      <cdr:y>0.94036</cdr:y>
    </cdr:from>
    <cdr:to>
      <cdr:x>0.84089</cdr:x>
      <cdr:y>0.99029</cdr:y>
    </cdr:to>
    <cdr:sp macro="" textlink="">
      <cdr:nvSpPr>
        <cdr:cNvPr id="2" name="TextBox 1"/>
        <cdr:cNvSpPr txBox="1"/>
      </cdr:nvSpPr>
      <cdr:spPr>
        <a:xfrm xmlns:a="http://schemas.openxmlformats.org/drawingml/2006/main">
          <a:off x="445665" y="5924725"/>
          <a:ext cx="6851009" cy="3145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i="1"/>
            <a:t>Source:</a:t>
          </a:r>
          <a:r>
            <a:rPr lang="en-US" sz="1000" i="1" baseline="0"/>
            <a:t>  Statistics Canada, CANSIM Table 111-0007</a:t>
          </a:r>
          <a:endParaRPr lang="en-US" sz="1000" i="1"/>
        </a:p>
      </cdr:txBody>
    </cdr:sp>
  </cdr:relSizeAnchor>
</c:userShapes>
</file>

<file path=xl/drawings/drawing254.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5.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7.xml><?xml version="1.0" encoding="utf-8"?>
<c:userShapes xmlns:c="http://schemas.openxmlformats.org/drawingml/2006/chart">
  <cdr:relSizeAnchor xmlns:cdr="http://schemas.openxmlformats.org/drawingml/2006/chartDrawing">
    <cdr:from>
      <cdr:x>0.05539</cdr:x>
      <cdr:y>0.95562</cdr:y>
    </cdr:from>
    <cdr:to>
      <cdr:x>0.75227</cdr:x>
      <cdr:y>0.98613</cdr:y>
    </cdr:to>
    <cdr:sp macro="" textlink="">
      <cdr:nvSpPr>
        <cdr:cNvPr id="2" name="TextBox 1"/>
        <cdr:cNvSpPr txBox="1"/>
      </cdr:nvSpPr>
      <cdr:spPr>
        <a:xfrm xmlns:a="http://schemas.openxmlformats.org/drawingml/2006/main">
          <a:off x="480619" y="6020849"/>
          <a:ext cx="6047064" cy="1922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i="1">
              <a:latin typeface="+mn-lt"/>
              <a:ea typeface="+mn-ea"/>
              <a:cs typeface="+mn-cs"/>
            </a:rPr>
            <a:t>Source:</a:t>
          </a:r>
          <a:r>
            <a:rPr lang="en-US" sz="1000" i="1" baseline="0">
              <a:latin typeface="+mn-lt"/>
              <a:ea typeface="+mn-ea"/>
              <a:cs typeface="+mn-cs"/>
            </a:rPr>
            <a:t>  Statistics Canada, CANSIM Table 111-0007</a:t>
          </a:r>
          <a:endParaRPr lang="en-US" sz="1000" i="1">
            <a:latin typeface="+mn-lt"/>
            <a:ea typeface="+mn-ea"/>
            <a:cs typeface="+mn-cs"/>
          </a:endParaRPr>
        </a:p>
        <a:p xmlns:a="http://schemas.openxmlformats.org/drawingml/2006/main">
          <a:endParaRPr lang="en-US" sz="1100"/>
        </a:p>
      </cdr:txBody>
    </cdr:sp>
  </cdr:relSizeAnchor>
</c:userShapes>
</file>

<file path=xl/drawings/drawing258.xml><?xml version="1.0" encoding="utf-8"?>
<xdr:wsDr xmlns:xdr="http://schemas.openxmlformats.org/drawingml/2006/spreadsheetDrawing" xmlns:a="http://schemas.openxmlformats.org/drawingml/2006/main">
  <xdr:absoluteAnchor>
    <xdr:pos x="19639" y="29458"/>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9.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29459" y="-982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0.xml><?xml version="1.0" encoding="utf-8"?>
<xdr:wsDr xmlns:xdr="http://schemas.openxmlformats.org/drawingml/2006/spreadsheetDrawing" xmlns:a="http://schemas.openxmlformats.org/drawingml/2006/main">
  <xdr:absoluteAnchor>
    <xdr:pos x="25288" y="8429"/>
    <xdr:ext cx="8665221" cy="62881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1.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2.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3.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4.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5.xml><?xml version="1.0" encoding="utf-8"?>
<xdr:wsDr xmlns:xdr="http://schemas.openxmlformats.org/drawingml/2006/spreadsheetDrawing" xmlns:a="http://schemas.openxmlformats.org/drawingml/2006/main">
  <xdr:twoCellAnchor>
    <xdr:from>
      <xdr:col>1</xdr:col>
      <xdr:colOff>19050</xdr:colOff>
      <xdr:row>50</xdr:row>
      <xdr:rowOff>152400</xdr:rowOff>
    </xdr:from>
    <xdr:to>
      <xdr:col>8</xdr:col>
      <xdr:colOff>323850</xdr:colOff>
      <xdr:row>70</xdr:row>
      <xdr:rowOff>114300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38099</xdr:colOff>
      <xdr:row>51</xdr:row>
      <xdr:rowOff>47626</xdr:rowOff>
    </xdr:from>
    <xdr:to>
      <xdr:col>16</xdr:col>
      <xdr:colOff>457199</xdr:colOff>
      <xdr:row>70</xdr:row>
      <xdr:rowOff>95251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76</xdr:row>
      <xdr:rowOff>76199</xdr:rowOff>
    </xdr:from>
    <xdr:to>
      <xdr:col>8</xdr:col>
      <xdr:colOff>323850</xdr:colOff>
      <xdr:row>95</xdr:row>
      <xdr:rowOff>152399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xdr:colOff>
      <xdr:row>76</xdr:row>
      <xdr:rowOff>38100</xdr:rowOff>
    </xdr:from>
    <xdr:to>
      <xdr:col>16</xdr:col>
      <xdr:colOff>228600</xdr:colOff>
      <xdr:row>96</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28575</xdr:colOff>
      <xdr:row>96</xdr:row>
      <xdr:rowOff>142875</xdr:rowOff>
    </xdr:from>
    <xdr:to>
      <xdr:col>8</xdr:col>
      <xdr:colOff>333375</xdr:colOff>
      <xdr:row>113</xdr:row>
      <xdr:rowOff>133350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19050</xdr:colOff>
      <xdr:row>97</xdr:row>
      <xdr:rowOff>19050</xdr:rowOff>
    </xdr:from>
    <xdr:to>
      <xdr:col>16</xdr:col>
      <xdr:colOff>219075</xdr:colOff>
      <xdr:row>114</xdr:row>
      <xdr:rowOff>9525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117</xdr:row>
      <xdr:rowOff>104774</xdr:rowOff>
    </xdr:from>
    <xdr:to>
      <xdr:col>8</xdr:col>
      <xdr:colOff>333375</xdr:colOff>
      <xdr:row>135</xdr:row>
      <xdr:rowOff>76199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66675</xdr:colOff>
      <xdr:row>117</xdr:row>
      <xdr:rowOff>133350</xdr:rowOff>
    </xdr:from>
    <xdr:to>
      <xdr:col>16</xdr:col>
      <xdr:colOff>285750</xdr:colOff>
      <xdr:row>135</xdr:row>
      <xdr:rowOff>47625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7.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0.857</cdr:x>
      <cdr:y>0.88766</cdr:y>
    </cdr:from>
    <cdr:to>
      <cdr:x>0.97784</cdr:x>
      <cdr:y>0.98058</cdr:y>
    </cdr:to>
    <cdr:sp macro="" textlink="">
      <cdr:nvSpPr>
        <cdr:cNvPr id="4" name="TextBox 3"/>
        <cdr:cNvSpPr txBox="1"/>
      </cdr:nvSpPr>
      <cdr:spPr>
        <a:xfrm xmlns:a="http://schemas.openxmlformats.org/drawingml/2006/main">
          <a:off x="7436490" y="5592661"/>
          <a:ext cx="1048582" cy="585466"/>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pPr algn="l"/>
          <a:r>
            <a:rPr lang="en-US" sz="950" b="1" i="1">
              <a:latin typeface="+mn-lt"/>
              <a:ea typeface="+mn-ea"/>
              <a:cs typeface="+mn-cs"/>
            </a:rPr>
            <a:t>July 2012</a:t>
          </a:r>
        </a:p>
        <a:p xmlns:a="http://schemas.openxmlformats.org/drawingml/2006/main">
          <a:pPr algn="l"/>
          <a:r>
            <a:rPr lang="en-US" sz="950" b="0" i="1">
              <a:latin typeface="+mn-lt"/>
              <a:ea typeface="+mn-ea"/>
              <a:cs typeface="+mn-cs"/>
            </a:rPr>
            <a:t>ODSP revised</a:t>
          </a:r>
        </a:p>
        <a:p xmlns:a="http://schemas.openxmlformats.org/drawingml/2006/main">
          <a:pPr algn="l"/>
          <a:r>
            <a:rPr lang="en-US" sz="950" i="1">
              <a:latin typeface="+mn-lt"/>
              <a:ea typeface="+mn-ea"/>
              <a:cs typeface="+mn-cs"/>
            </a:rPr>
            <a:t>Total revised</a:t>
          </a:r>
          <a:endParaRPr lang="en-US" sz="950"/>
        </a:p>
        <a:p xmlns:a="http://schemas.openxmlformats.org/drawingml/2006/main">
          <a:endParaRPr lang="en-US" sz="1100"/>
        </a:p>
        <a:p xmlns:a="http://schemas.openxmlformats.org/drawingml/2006/main">
          <a:endParaRPr lang="en-US" sz="1100"/>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0.83182</cdr:x>
      <cdr:y>0.8613</cdr:y>
    </cdr:from>
    <cdr:to>
      <cdr:x>0.97583</cdr:x>
      <cdr:y>0.95978</cdr:y>
    </cdr:to>
    <cdr:sp macro="" textlink="">
      <cdr:nvSpPr>
        <cdr:cNvPr id="2" name="TextBox 1"/>
        <cdr:cNvSpPr txBox="1"/>
      </cdr:nvSpPr>
      <cdr:spPr>
        <a:xfrm xmlns:a="http://schemas.openxmlformats.org/drawingml/2006/main">
          <a:off x="7218027" y="5426629"/>
          <a:ext cx="1249572" cy="620447"/>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US" sz="950" b="1" i="1">
              <a:latin typeface="+mn-lt"/>
              <a:ea typeface="+mn-ea"/>
              <a:cs typeface="+mn-cs"/>
            </a:rPr>
            <a:t>July 2012</a:t>
          </a:r>
          <a:endParaRPr lang="en-US" sz="950"/>
        </a:p>
        <a:p xmlns:a="http://schemas.openxmlformats.org/drawingml/2006/main">
          <a:r>
            <a:rPr lang="en-US" sz="950" i="1">
              <a:latin typeface="+mn-lt"/>
              <a:ea typeface="+mn-ea"/>
              <a:cs typeface="+mn-cs"/>
            </a:rPr>
            <a:t>ODSP revised</a:t>
          </a:r>
        </a:p>
        <a:p xmlns:a="http://schemas.openxmlformats.org/drawingml/2006/main">
          <a:r>
            <a:rPr lang="en-US" sz="950" i="1">
              <a:latin typeface="+mn-lt"/>
              <a:ea typeface="+mn-ea"/>
              <a:cs typeface="+mn-cs"/>
            </a:rPr>
            <a:t>Total</a:t>
          </a:r>
          <a:r>
            <a:rPr lang="en-US" sz="950" i="1" baseline="0">
              <a:latin typeface="+mn-lt"/>
              <a:ea typeface="+mn-ea"/>
              <a:cs typeface="+mn-cs"/>
            </a:rPr>
            <a:t> revised</a:t>
          </a:r>
          <a:endParaRPr lang="en-US" sz="950" i="1">
            <a:latin typeface="+mn-lt"/>
            <a:ea typeface="+mn-ea"/>
            <a:cs typeface="+mn-cs"/>
          </a:endParaRPr>
        </a:p>
      </cdr:txBody>
    </cdr:sp>
  </cdr:relSizeAnchor>
</c:userShapes>
</file>

<file path=xl/drawings/drawing33.xml><?xml version="1.0" encoding="utf-8"?>
<xdr:wsDr xmlns:xdr="http://schemas.openxmlformats.org/drawingml/2006/spreadsheetDrawing" xmlns:a="http://schemas.openxmlformats.org/drawingml/2006/main">
  <xdr:absoluteAnchor>
    <xdr:pos x="-26216"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0.80665</cdr:x>
      <cdr:y>0.88766</cdr:y>
    </cdr:from>
    <cdr:to>
      <cdr:x>0.95368</cdr:x>
      <cdr:y>0.97365</cdr:y>
    </cdr:to>
    <cdr:sp macro="" textlink="">
      <cdr:nvSpPr>
        <cdr:cNvPr id="2" name="TextBox 1"/>
        <cdr:cNvSpPr txBox="1"/>
      </cdr:nvSpPr>
      <cdr:spPr>
        <a:xfrm xmlns:a="http://schemas.openxmlformats.org/drawingml/2006/main">
          <a:off x="6999565" y="5592661"/>
          <a:ext cx="1275862" cy="541803"/>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35.xml><?xml version="1.0" encoding="utf-8"?>
<xdr:wsDr xmlns:xdr="http://schemas.openxmlformats.org/drawingml/2006/spreadsheetDrawing" xmlns:a="http://schemas.openxmlformats.org/drawingml/2006/main">
  <xdr:absoluteAnchor>
    <xdr:pos x="28156" y="-971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absoluteAnchor>
    <xdr:pos x="-26216" y="-26215"/>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0.79859</cdr:x>
      <cdr:y>0.21082</cdr:y>
    </cdr:from>
    <cdr:to>
      <cdr:x>0.96777</cdr:x>
      <cdr:y>0.24411</cdr:y>
    </cdr:to>
    <cdr:sp macro="" textlink="">
      <cdr:nvSpPr>
        <cdr:cNvPr id="2" name="TextBox 1"/>
        <cdr:cNvSpPr txBox="1"/>
      </cdr:nvSpPr>
      <cdr:spPr>
        <a:xfrm xmlns:a="http://schemas.openxmlformats.org/drawingml/2006/main">
          <a:off x="6929656" y="1328256"/>
          <a:ext cx="1468074" cy="2097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US" sz="1100"/>
        </a:p>
      </cdr:txBody>
    </cdr:sp>
  </cdr:relSizeAnchor>
  <cdr:relSizeAnchor xmlns:cdr="http://schemas.openxmlformats.org/drawingml/2006/chartDrawing">
    <cdr:from>
      <cdr:x>0.83283</cdr:x>
      <cdr:y>0.20527</cdr:y>
    </cdr:from>
    <cdr:to>
      <cdr:x>0.96375</cdr:x>
      <cdr:y>0.24827</cdr:y>
    </cdr:to>
    <cdr:sp macro="" textlink="">
      <cdr:nvSpPr>
        <cdr:cNvPr id="3" name="TextBox 2"/>
        <cdr:cNvSpPr txBox="1"/>
      </cdr:nvSpPr>
      <cdr:spPr>
        <a:xfrm xmlns:a="http://schemas.openxmlformats.org/drawingml/2006/main">
          <a:off x="7226766" y="1293302"/>
          <a:ext cx="1136009" cy="270895"/>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US" sz="1000" b="1" i="1"/>
            <a:t>Revised July 2012</a:t>
          </a: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cdr:x>
      <cdr:y>0</cdr:y>
    </cdr:from>
    <cdr:to>
      <cdr:x>0.00281</cdr:x>
      <cdr:y>0.00387</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0.07248</cdr:x>
      <cdr:y>0.23245</cdr:y>
    </cdr:from>
    <cdr:to>
      <cdr:x>0.22877</cdr:x>
      <cdr:y>0.27925</cdr:y>
    </cdr:to>
    <cdr:sp macro="" textlink="">
      <cdr:nvSpPr>
        <cdr:cNvPr id="3" name="TextBox 2"/>
        <cdr:cNvSpPr txBox="1"/>
      </cdr:nvSpPr>
      <cdr:spPr>
        <a:xfrm xmlns:a="http://schemas.openxmlformats.org/drawingml/2006/main">
          <a:off x="628454" y="1463120"/>
          <a:ext cx="1355103" cy="294586"/>
        </a:xfrm>
        <a:prstGeom xmlns:a="http://schemas.openxmlformats.org/drawingml/2006/main" prst="rect">
          <a:avLst/>
        </a:prstGeom>
        <a:solidFill xmlns:a="http://schemas.openxmlformats.org/drawingml/2006/main">
          <a:schemeClr val="accent5"/>
        </a:solidFill>
      </cdr:spPr>
      <cdr:txBody>
        <a:bodyPr xmlns:a="http://schemas.openxmlformats.org/drawingml/2006/main" vertOverflow="clip" wrap="square" rtlCol="0"/>
        <a:lstStyle xmlns:a="http://schemas.openxmlformats.org/drawingml/2006/main"/>
        <a:p xmlns:a="http://schemas.openxmlformats.org/drawingml/2006/main">
          <a:r>
            <a:rPr lang="en-CA" sz="1100" b="1" baseline="0">
              <a:solidFill>
                <a:schemeClr val="bg1"/>
              </a:solidFill>
            </a:rPr>
            <a:t>2005-06</a:t>
          </a:r>
          <a:r>
            <a:rPr lang="en-CA" sz="1100" b="1" baseline="0"/>
            <a:t> </a:t>
          </a:r>
          <a:r>
            <a:rPr lang="en-CA" sz="1100" b="1" baseline="0">
              <a:solidFill>
                <a:schemeClr val="bg1"/>
              </a:solidFill>
            </a:rPr>
            <a:t>to 2009-10</a:t>
          </a:r>
          <a:endParaRPr lang="en-CA" sz="1100" b="1">
            <a:solidFill>
              <a:schemeClr val="bg1"/>
            </a:solidFill>
          </a:endParaRPr>
        </a:p>
      </cdr:txBody>
    </cdr:sp>
  </cdr:relSizeAnchor>
  <cdr:relSizeAnchor xmlns:cdr="http://schemas.openxmlformats.org/drawingml/2006/chartDrawing">
    <cdr:from>
      <cdr:x>0.07248</cdr:x>
      <cdr:y>0.29329</cdr:y>
    </cdr:from>
    <cdr:to>
      <cdr:x>0.22763</cdr:x>
      <cdr:y>0.34165</cdr:y>
    </cdr:to>
    <cdr:sp macro="" textlink="">
      <cdr:nvSpPr>
        <cdr:cNvPr id="4" name="TextBox 3"/>
        <cdr:cNvSpPr txBox="1"/>
      </cdr:nvSpPr>
      <cdr:spPr>
        <a:xfrm xmlns:a="http://schemas.openxmlformats.org/drawingml/2006/main">
          <a:off x="628453" y="1846082"/>
          <a:ext cx="1345284" cy="304408"/>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2010-11</a:t>
          </a:r>
        </a:p>
      </cdr:txBody>
    </cdr:sp>
  </cdr:relSizeAnchor>
  <cdr:relSizeAnchor xmlns:cdr="http://schemas.openxmlformats.org/drawingml/2006/chartDrawing">
    <cdr:from>
      <cdr:x>0.07361</cdr:x>
      <cdr:y>0.36349</cdr:y>
    </cdr:from>
    <cdr:to>
      <cdr:x>0.22763</cdr:x>
      <cdr:y>0.4103</cdr:y>
    </cdr:to>
    <cdr:sp macro="" textlink="">
      <cdr:nvSpPr>
        <cdr:cNvPr id="5" name="TextBox 4"/>
        <cdr:cNvSpPr txBox="1"/>
      </cdr:nvSpPr>
      <cdr:spPr>
        <a:xfrm xmlns:a="http://schemas.openxmlformats.org/drawingml/2006/main">
          <a:off x="638274" y="2287965"/>
          <a:ext cx="1335463" cy="294588"/>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1100" b="1"/>
            <a:t>2005-06</a:t>
          </a:r>
          <a:r>
            <a:rPr lang="en-CA" sz="1100" b="1" baseline="0"/>
            <a:t> to 2011-12</a:t>
          </a:r>
          <a:endParaRPr lang="en-CA" sz="1100" b="1"/>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0.1325</cdr:x>
      <cdr:y>0.53822</cdr:y>
    </cdr:from>
    <cdr:to>
      <cdr:x>0.31257</cdr:x>
      <cdr:y>0.71451</cdr:y>
    </cdr:to>
    <cdr:sp macro="" textlink="">
      <cdr:nvSpPr>
        <cdr:cNvPr id="2" name="TextBox 1"/>
        <cdr:cNvSpPr txBox="1"/>
      </cdr:nvSpPr>
      <cdr:spPr>
        <a:xfrm xmlns:a="http://schemas.openxmlformats.org/drawingml/2006/main">
          <a:off x="1148866" y="3387758"/>
          <a:ext cx="1561339" cy="11096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ODSP &amp; </a:t>
          </a:r>
          <a:endParaRPr lang="en-US" sz="1400">
            <a:latin typeface="+mn-lt"/>
            <a:ea typeface="+mn-ea"/>
            <a:cs typeface="+mn-cs"/>
          </a:endParaRPr>
        </a:p>
        <a:p xmlns:a="http://schemas.openxmlformats.org/drawingml/2006/main">
          <a:pPr algn="ctr"/>
          <a:r>
            <a:rPr lang="en-US" sz="1400" b="1">
              <a:latin typeface="+mn-lt"/>
              <a:ea typeface="+mn-ea"/>
              <a:cs typeface="+mn-cs"/>
            </a:rPr>
            <a:t>FIRST</a:t>
          </a:r>
          <a:r>
            <a:rPr lang="en-US" sz="1400" b="1" baseline="0">
              <a:latin typeface="+mn-lt"/>
              <a:ea typeface="+mn-ea"/>
              <a:cs typeface="+mn-cs"/>
            </a:rPr>
            <a:t> NATIONS SA</a:t>
          </a:r>
          <a:endParaRPr lang="en-US" sz="14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0.453</cdr:x>
      <cdr:y>0.66303</cdr:y>
    </cdr:from>
    <cdr:to>
      <cdr:x>0.61042</cdr:x>
      <cdr:y>0.86739</cdr:y>
    </cdr:to>
    <cdr:sp macro="" textlink="">
      <cdr:nvSpPr>
        <cdr:cNvPr id="3" name="TextBox 2"/>
        <cdr:cNvSpPr txBox="1"/>
      </cdr:nvSpPr>
      <cdr:spPr>
        <a:xfrm xmlns:a="http://schemas.openxmlformats.org/drawingml/2006/main">
          <a:off x="3927825" y="4173326"/>
          <a:ext cx="1364941" cy="12863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PERSONS WITH DISABILITIES</a:t>
          </a:r>
          <a:endParaRPr lang="en-CA" sz="1100"/>
        </a:p>
      </cdr:txBody>
    </cdr:sp>
  </cdr:relSizeAnchor>
  <cdr:relSizeAnchor xmlns:cdr="http://schemas.openxmlformats.org/drawingml/2006/chartDrawing">
    <cdr:from>
      <cdr:x>0.74632</cdr:x>
      <cdr:y>0.70983</cdr:y>
    </cdr:from>
    <cdr:to>
      <cdr:x>0.94224</cdr:x>
      <cdr:y>0.93916</cdr:y>
    </cdr:to>
    <cdr:sp macro="" textlink="">
      <cdr:nvSpPr>
        <cdr:cNvPr id="4" name="TextBox 3"/>
        <cdr:cNvSpPr txBox="1"/>
      </cdr:nvSpPr>
      <cdr:spPr>
        <a:xfrm xmlns:a="http://schemas.openxmlformats.org/drawingml/2006/main">
          <a:off x="6471114" y="4467912"/>
          <a:ext cx="1698763" cy="14434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PERSONS WITH DISABILITIES EXCL. </a:t>
          </a:r>
        </a:p>
        <a:p xmlns:a="http://schemas.openxmlformats.org/drawingml/2006/main">
          <a:pPr algn="ctr"/>
          <a:r>
            <a:rPr lang="en-US" sz="1400" b="1">
              <a:latin typeface="+mn-lt"/>
              <a:ea typeface="+mn-ea"/>
              <a:cs typeface="+mn-cs"/>
            </a:rPr>
            <a:t>ODSP &amp;</a:t>
          </a:r>
          <a:r>
            <a:rPr lang="en-US" sz="1400" b="1" baseline="0">
              <a:latin typeface="+mn-lt"/>
              <a:ea typeface="+mn-ea"/>
              <a:cs typeface="+mn-cs"/>
            </a:rPr>
            <a:t> FIRST NATIONS SA</a:t>
          </a:r>
          <a:endParaRPr lang="en-US" sz="1400" b="1">
            <a:latin typeface="+mn-lt"/>
            <a:ea typeface="+mn-ea"/>
            <a:cs typeface="+mn-cs"/>
          </a:endParaRPr>
        </a:p>
        <a:p xmlns:a="http://schemas.openxmlformats.org/drawingml/2006/main">
          <a:endParaRPr lang="en-CA" sz="1100"/>
        </a:p>
        <a:p xmlns:a="http://schemas.openxmlformats.org/drawingml/2006/main">
          <a:endParaRPr lang="en-CA" sz="1100"/>
        </a:p>
      </cdr:txBody>
    </cdr:sp>
  </cdr:relSizeAnchor>
</c:userShapes>
</file>

<file path=xl/drawings/drawing43.xml><?xml version="1.0" encoding="utf-8"?>
<xdr:wsDr xmlns:xdr="http://schemas.openxmlformats.org/drawingml/2006/spreadsheetDrawing" xmlns:a="http://schemas.openxmlformats.org/drawingml/2006/main">
  <xdr:absoluteAnchor>
    <xdr:pos x="20940" y="2555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0.10778</cdr:x>
      <cdr:y>0.63806</cdr:y>
    </cdr:from>
    <cdr:to>
      <cdr:x>0.2859</cdr:x>
      <cdr:y>0.73158</cdr:y>
    </cdr:to>
    <cdr:sp macro="" textlink="">
      <cdr:nvSpPr>
        <cdr:cNvPr id="2" name="TextBox 1"/>
        <cdr:cNvSpPr txBox="1"/>
      </cdr:nvSpPr>
      <cdr:spPr>
        <a:xfrm xmlns:a="http://schemas.openxmlformats.org/drawingml/2006/main">
          <a:off x="935246" y="4020114"/>
          <a:ext cx="1545612" cy="589174"/>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ODSP &amp; </a:t>
          </a:r>
          <a:endParaRPr lang="en-US" sz="1400">
            <a:latin typeface="+mn-lt"/>
            <a:ea typeface="+mn-ea"/>
            <a:cs typeface="+mn-cs"/>
          </a:endParaRPr>
        </a:p>
        <a:p xmlns:a="http://schemas.openxmlformats.org/drawingml/2006/main">
          <a:pPr algn="ctr"/>
          <a:r>
            <a:rPr lang="en-US" sz="1400" b="1">
              <a:latin typeface="+mn-lt"/>
              <a:ea typeface="+mn-ea"/>
              <a:cs typeface="+mn-cs"/>
            </a:rPr>
            <a:t>FIRST</a:t>
          </a:r>
          <a:r>
            <a:rPr lang="en-US" sz="1400" b="1" baseline="0">
              <a:latin typeface="+mn-lt"/>
              <a:ea typeface="+mn-ea"/>
              <a:cs typeface="+mn-cs"/>
            </a:rPr>
            <a: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0.39152</cdr:x>
      <cdr:y>0.71911</cdr:y>
    </cdr:from>
    <cdr:to>
      <cdr:x>0.57378</cdr:x>
      <cdr:y>0.84379</cdr:y>
    </cdr:to>
    <cdr:sp macro="" textlink="">
      <cdr:nvSpPr>
        <cdr:cNvPr id="3" name="TextBox 2"/>
        <cdr:cNvSpPr txBox="1"/>
      </cdr:nvSpPr>
      <cdr:spPr>
        <a:xfrm xmlns:a="http://schemas.openxmlformats.org/drawingml/2006/main">
          <a:off x="3397361" y="4530733"/>
          <a:ext cx="1581536" cy="78556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0.66638</cdr:x>
      <cdr:y>0.70664</cdr:y>
    </cdr:from>
    <cdr:to>
      <cdr:x>0.86442</cdr:x>
      <cdr:y>0.89834</cdr:y>
    </cdr:to>
    <cdr:sp macro="" textlink="">
      <cdr:nvSpPr>
        <cdr:cNvPr id="4" name="TextBox 3"/>
        <cdr:cNvSpPr txBox="1"/>
      </cdr:nvSpPr>
      <cdr:spPr>
        <a:xfrm xmlns:a="http://schemas.openxmlformats.org/drawingml/2006/main">
          <a:off x="5782436" y="4452176"/>
          <a:ext cx="1718428" cy="1207809"/>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 EXCL. </a:t>
          </a:r>
          <a:endParaRPr lang="en-US" sz="1400">
            <a:latin typeface="+mn-lt"/>
            <a:ea typeface="+mn-ea"/>
            <a:cs typeface="+mn-cs"/>
          </a:endParaRPr>
        </a:p>
        <a:p xmlns:a="http://schemas.openxmlformats.org/drawingml/2006/main">
          <a:pPr algn="ctr"/>
          <a:r>
            <a:rPr lang="en-US" sz="1400" b="1">
              <a:latin typeface="+mn-lt"/>
              <a:ea typeface="+mn-ea"/>
              <a:cs typeface="+mn-cs"/>
            </a:rPr>
            <a:t>ODSP &amp;</a:t>
          </a:r>
          <a:r>
            <a:rPr lang="en-US" sz="1400" b="1" baseline="0">
              <a:latin typeface="+mn-lt"/>
              <a:ea typeface="+mn-ea"/>
              <a:cs typeface="+mn-cs"/>
            </a:rPr>
            <a:t> FIRST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0.76536</cdr:x>
      <cdr:y>0.23378</cdr:y>
    </cdr:from>
    <cdr:to>
      <cdr:x>0.89728</cdr:x>
      <cdr:y>0.27739</cdr:y>
    </cdr:to>
    <cdr:sp macro="" textlink="">
      <cdr:nvSpPr>
        <cdr:cNvPr id="5" name="TextBox 4"/>
        <cdr:cNvSpPr txBox="1"/>
      </cdr:nvSpPr>
      <cdr:spPr>
        <a:xfrm xmlns:a="http://schemas.openxmlformats.org/drawingml/2006/main">
          <a:off x="6641284" y="1472939"/>
          <a:ext cx="1144748" cy="274768"/>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endParaRPr lang="en-US" sz="900" i="1" baseline="0">
            <a:solidFill>
              <a:schemeClr val="bg1"/>
            </a:solidFill>
          </a:endParaRPr>
        </a:p>
      </cdr:txBody>
    </cdr:sp>
  </cdr:relSizeAnchor>
  <cdr:relSizeAnchor xmlns:cdr="http://schemas.openxmlformats.org/drawingml/2006/chartDrawing">
    <cdr:from>
      <cdr:x>0.74879</cdr:x>
      <cdr:y>0.29404</cdr:y>
    </cdr:from>
    <cdr:to>
      <cdr:x>0.89527</cdr:x>
      <cdr:y>0.3707</cdr:y>
    </cdr:to>
    <cdr:sp macro="" textlink="">
      <cdr:nvSpPr>
        <cdr:cNvPr id="6" name="TextBox 5"/>
        <cdr:cNvSpPr txBox="1"/>
      </cdr:nvSpPr>
      <cdr:spPr>
        <a:xfrm xmlns:a="http://schemas.openxmlformats.org/drawingml/2006/main">
          <a:off x="6497510" y="1852569"/>
          <a:ext cx="1271045" cy="48301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endParaRPr lang="en-US" sz="1100" b="1">
            <a:latin typeface="+mn-lt"/>
            <a:ea typeface="+mn-ea"/>
            <a:cs typeface="+mn-cs"/>
          </a:endParaRPr>
        </a:p>
      </cdr:txBody>
    </cdr:sp>
  </cdr:relSizeAnchor>
  <cdr:relSizeAnchor xmlns:cdr="http://schemas.openxmlformats.org/drawingml/2006/chartDrawing">
    <cdr:from>
      <cdr:x>0.63798</cdr:x>
      <cdr:y>0.30795</cdr:y>
    </cdr:from>
    <cdr:to>
      <cdr:x>0.74336</cdr:x>
      <cdr:y>0.45308</cdr:y>
    </cdr:to>
    <cdr:sp macro="" textlink="">
      <cdr:nvSpPr>
        <cdr:cNvPr id="7" name="TextBox 6"/>
        <cdr:cNvSpPr txBox="1"/>
      </cdr:nvSpPr>
      <cdr:spPr>
        <a:xfrm xmlns:a="http://schemas.openxmlformats.org/drawingml/2006/main">
          <a:off x="5536025" y="1940202"/>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0.15005</cdr:x>
      <cdr:y>0.50624</cdr:y>
    </cdr:from>
    <cdr:to>
      <cdr:x>0.30312</cdr:x>
      <cdr:y>0.68793</cdr:y>
    </cdr:to>
    <cdr:sp macro="" textlink="">
      <cdr:nvSpPr>
        <cdr:cNvPr id="2" name="TextBox 1"/>
        <cdr:cNvSpPr txBox="1"/>
      </cdr:nvSpPr>
      <cdr:spPr>
        <a:xfrm xmlns:a="http://schemas.openxmlformats.org/drawingml/2006/main">
          <a:off x="1302040" y="3189564"/>
          <a:ext cx="1328257" cy="11447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ODSP &amp; </a:t>
          </a:r>
          <a:endParaRPr lang="en-US" sz="1400"/>
        </a:p>
        <a:p xmlns:a="http://schemas.openxmlformats.org/drawingml/2006/main">
          <a:pPr algn="ctr"/>
          <a:r>
            <a:rPr lang="en-US" sz="1400" b="1">
              <a:latin typeface="+mn-lt"/>
              <a:ea typeface="+mn-ea"/>
              <a:cs typeface="+mn-cs"/>
            </a:rPr>
            <a:t>FIRST</a:t>
          </a:r>
          <a:r>
            <a:rPr lang="en-US" sz="1400" b="1" baseline="0">
              <a:latin typeface="+mn-lt"/>
              <a:ea typeface="+mn-ea"/>
              <a:cs typeface="+mn-cs"/>
            </a:rPr>
            <a: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0.45116</cdr:x>
      <cdr:y>0.64216</cdr:y>
    </cdr:from>
    <cdr:to>
      <cdr:x>0.62135</cdr:x>
      <cdr:y>0.81692</cdr:y>
    </cdr:to>
    <cdr:sp macro="" textlink="">
      <cdr:nvSpPr>
        <cdr:cNvPr id="3" name="TextBox 2"/>
        <cdr:cNvSpPr txBox="1"/>
      </cdr:nvSpPr>
      <cdr:spPr>
        <a:xfrm xmlns:a="http://schemas.openxmlformats.org/drawingml/2006/main">
          <a:off x="3914862" y="4045940"/>
          <a:ext cx="1476811" cy="11010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a:p>
        <a:p xmlns:a="http://schemas.openxmlformats.org/drawingml/2006/main">
          <a:endParaRPr lang="en-US" sz="1100"/>
        </a:p>
      </cdr:txBody>
    </cdr:sp>
  </cdr:relSizeAnchor>
  <cdr:relSizeAnchor xmlns:cdr="http://schemas.openxmlformats.org/drawingml/2006/chartDrawing">
    <cdr:from>
      <cdr:x>0.75629</cdr:x>
      <cdr:y>0.67406</cdr:y>
    </cdr:from>
    <cdr:to>
      <cdr:x>0.93051</cdr:x>
      <cdr:y>0.91262</cdr:y>
    </cdr:to>
    <cdr:sp macro="" textlink="">
      <cdr:nvSpPr>
        <cdr:cNvPr id="4" name="TextBox 3"/>
        <cdr:cNvSpPr txBox="1"/>
      </cdr:nvSpPr>
      <cdr:spPr>
        <a:xfrm xmlns:a="http://schemas.openxmlformats.org/drawingml/2006/main">
          <a:off x="6562638" y="4246928"/>
          <a:ext cx="1511766" cy="15030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 EXCL. </a:t>
          </a:r>
          <a:endParaRPr lang="en-US" sz="1400"/>
        </a:p>
        <a:p xmlns:a="http://schemas.openxmlformats.org/drawingml/2006/main">
          <a:pPr algn="ctr"/>
          <a:r>
            <a:rPr lang="en-US" sz="1400" b="1">
              <a:latin typeface="+mn-lt"/>
              <a:ea typeface="+mn-ea"/>
              <a:cs typeface="+mn-cs"/>
            </a:rPr>
            <a:t>ODSP &amp;</a:t>
          </a:r>
          <a:r>
            <a:rPr lang="en-US" sz="1400" b="1" baseline="0">
              <a:latin typeface="+mn-lt"/>
              <a:ea typeface="+mn-ea"/>
              <a:cs typeface="+mn-cs"/>
            </a:rPr>
            <a:t> FIRST NATIONS SA</a:t>
          </a:r>
          <a:endParaRPr lang="en-US" sz="1400" b="1">
            <a:latin typeface="+mn-lt"/>
            <a:ea typeface="+mn-ea"/>
            <a:cs typeface="+mn-cs"/>
          </a:endParaRPr>
        </a:p>
        <a:p xmlns:a="http://schemas.openxmlformats.org/drawingml/2006/main">
          <a:endParaRPr lang="en-US" sz="1100"/>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0.143</cdr:x>
      <cdr:y>0.52843</cdr:y>
    </cdr:from>
    <cdr:to>
      <cdr:x>0.29507</cdr:x>
      <cdr:y>0.66297</cdr:y>
    </cdr:to>
    <cdr:sp macro="" textlink="">
      <cdr:nvSpPr>
        <cdr:cNvPr id="2" name="TextBox 1"/>
        <cdr:cNvSpPr txBox="1"/>
      </cdr:nvSpPr>
      <cdr:spPr>
        <a:xfrm xmlns:a="http://schemas.openxmlformats.org/drawingml/2006/main">
          <a:off x="1240872" y="3329364"/>
          <a:ext cx="1319518" cy="8476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ODSP &amp; </a:t>
          </a:r>
        </a:p>
        <a:p xmlns:a="http://schemas.openxmlformats.org/drawingml/2006/main">
          <a:pPr algn="ctr"/>
          <a:r>
            <a:rPr lang="en-US" sz="1400" b="1"/>
            <a:t>FIRST</a:t>
          </a:r>
          <a:r>
            <a:rPr lang="en-US" sz="1400" b="1" baseline="0"/>
            <a:t> NATIONS SA</a:t>
          </a:r>
          <a:endParaRPr lang="en-US" sz="1400" b="1"/>
        </a:p>
      </cdr:txBody>
    </cdr:sp>
  </cdr:relSizeAnchor>
  <cdr:relSizeAnchor xmlns:cdr="http://schemas.openxmlformats.org/drawingml/2006/chartDrawing">
    <cdr:from>
      <cdr:x>0.45519</cdr:x>
      <cdr:y>0.61997</cdr:y>
    </cdr:from>
    <cdr:to>
      <cdr:x>0.59919</cdr:x>
      <cdr:y>0.80166</cdr:y>
    </cdr:to>
    <cdr:sp macro="" textlink="">
      <cdr:nvSpPr>
        <cdr:cNvPr id="3" name="TextBox 2"/>
        <cdr:cNvSpPr txBox="1"/>
      </cdr:nvSpPr>
      <cdr:spPr>
        <a:xfrm xmlns:a="http://schemas.openxmlformats.org/drawingml/2006/main">
          <a:off x="3949848" y="3906125"/>
          <a:ext cx="1249541" cy="1144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a:t>
          </a:r>
        </a:p>
      </cdr:txBody>
    </cdr:sp>
  </cdr:relSizeAnchor>
  <cdr:relSizeAnchor xmlns:cdr="http://schemas.openxmlformats.org/drawingml/2006/chartDrawing">
    <cdr:from>
      <cdr:x>0.75428</cdr:x>
      <cdr:y>0.63662</cdr:y>
    </cdr:from>
    <cdr:to>
      <cdr:x>0.91037</cdr:x>
      <cdr:y>0.87656</cdr:y>
    </cdr:to>
    <cdr:sp macro="" textlink="">
      <cdr:nvSpPr>
        <cdr:cNvPr id="4" name="TextBox 3"/>
        <cdr:cNvSpPr txBox="1"/>
      </cdr:nvSpPr>
      <cdr:spPr>
        <a:xfrm xmlns:a="http://schemas.openxmlformats.org/drawingml/2006/main">
          <a:off x="6545161" y="4010986"/>
          <a:ext cx="1354449" cy="1511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 EXCL. </a:t>
          </a:r>
        </a:p>
        <a:p xmlns:a="http://schemas.openxmlformats.org/drawingml/2006/main">
          <a:pPr algn="ctr"/>
          <a:r>
            <a:rPr lang="en-US" sz="1400" b="1"/>
            <a:t>ODSP &amp;</a:t>
          </a:r>
          <a:r>
            <a:rPr lang="en-US" sz="1400" b="1" baseline="0"/>
            <a:t> FIRST NATIONS SA</a:t>
          </a:r>
          <a:endParaRPr lang="en-US" sz="1400" b="1"/>
        </a:p>
      </cdr:txBody>
    </cdr:sp>
  </cdr:relSizeAnchor>
  <cdr:relSizeAnchor xmlns:cdr="http://schemas.openxmlformats.org/drawingml/2006/chartDrawing">
    <cdr:from>
      <cdr:x>0.76234</cdr:x>
      <cdr:y>0.22053</cdr:y>
    </cdr:from>
    <cdr:to>
      <cdr:x>0.92548</cdr:x>
      <cdr:y>0.2663</cdr:y>
    </cdr:to>
    <cdr:sp macro="" textlink="">
      <cdr:nvSpPr>
        <cdr:cNvPr id="5" name="TextBox 4"/>
        <cdr:cNvSpPr txBox="1"/>
      </cdr:nvSpPr>
      <cdr:spPr>
        <a:xfrm xmlns:a="http://schemas.openxmlformats.org/drawingml/2006/main">
          <a:off x="6615100" y="1389445"/>
          <a:ext cx="1415625" cy="288353"/>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US" sz="1100" b="1" i="1"/>
            <a:t>Revised July 2012</a:t>
          </a: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xdr:wsDr xmlns:xdr="http://schemas.openxmlformats.org/drawingml/2006/spreadsheetDrawing" xmlns:a="http://schemas.openxmlformats.org/drawingml/2006/main">
  <xdr:absoluteAnchor>
    <xdr:pos x="19639"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0.71299</cdr:x>
      <cdr:y>0.84882</cdr:y>
    </cdr:from>
    <cdr:to>
      <cdr:x>0.94763</cdr:x>
      <cdr:y>0.95799</cdr:y>
    </cdr:to>
    <cdr:sp macro="" textlink="">
      <cdr:nvSpPr>
        <cdr:cNvPr id="2" name="TextBox 1"/>
        <cdr:cNvSpPr txBox="1"/>
      </cdr:nvSpPr>
      <cdr:spPr>
        <a:xfrm xmlns:a="http://schemas.openxmlformats.org/drawingml/2006/main">
          <a:off x="6186872" y="5347974"/>
          <a:ext cx="2036057" cy="687829"/>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US" sz="950" b="1" i="1"/>
            <a:t>October 2012</a:t>
          </a:r>
        </a:p>
        <a:p xmlns:a="http://schemas.openxmlformats.org/drawingml/2006/main">
          <a:r>
            <a:rPr lang="en-US" sz="950" b="0" i="1"/>
            <a:t>First Nations SA for Disabled revised</a:t>
          </a:r>
        </a:p>
        <a:p xmlns:a="http://schemas.openxmlformats.org/drawingml/2006/main">
          <a:r>
            <a:rPr lang="en-US" sz="950" b="0" i="1"/>
            <a:t>Veterans'</a:t>
          </a:r>
          <a:r>
            <a:rPr lang="en-US" sz="950" b="0" i="1" baseline="0"/>
            <a:t> Disability Pensions revised</a:t>
          </a:r>
        </a:p>
        <a:p xmlns:a="http://schemas.openxmlformats.org/drawingml/2006/main">
          <a:r>
            <a:rPr lang="en-US" sz="950" b="0" i="1" baseline="0"/>
            <a:t>Total revised</a:t>
          </a:r>
          <a:endParaRPr lang="en-US" sz="950" b="0" i="1"/>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xdr:wsDr xmlns:xdr="http://schemas.openxmlformats.org/drawingml/2006/spreadsheetDrawing" xmlns:a="http://schemas.openxmlformats.org/drawingml/2006/main">
  <xdr:absoluteAnchor>
    <xdr:pos x="-26216"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0.7855</cdr:x>
      <cdr:y>0.2025</cdr:y>
    </cdr:from>
    <cdr:to>
      <cdr:x>0.96491</cdr:x>
      <cdr:y>0.25798</cdr:y>
    </cdr:to>
    <cdr:sp macro="" textlink="">
      <cdr:nvSpPr>
        <cdr:cNvPr id="2" name="TextBox 1"/>
        <cdr:cNvSpPr txBox="1"/>
      </cdr:nvSpPr>
      <cdr:spPr>
        <a:xfrm xmlns:a="http://schemas.openxmlformats.org/drawingml/2006/main">
          <a:off x="6816068" y="1275848"/>
          <a:ext cx="1556797" cy="349550"/>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r>
            <a:rPr lang="en-US" sz="1100" b="1" i="1"/>
            <a:t>Revised  October 2012</a:t>
          </a: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29459" y="29458"/>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0.82786</cdr:x>
      <cdr:y>0.21997</cdr:y>
    </cdr:from>
    <cdr:to>
      <cdr:x>0.97961</cdr:x>
      <cdr:y>0.26053</cdr:y>
    </cdr:to>
    <cdr:sp macro="" textlink="">
      <cdr:nvSpPr>
        <cdr:cNvPr id="2" name="TextBox 1"/>
        <cdr:cNvSpPr txBox="1"/>
      </cdr:nvSpPr>
      <cdr:spPr>
        <a:xfrm xmlns:a="http://schemas.openxmlformats.org/drawingml/2006/main">
          <a:off x="7178118" y="1384563"/>
          <a:ext cx="1315825" cy="255309"/>
        </a:xfrm>
        <a:prstGeom xmlns:a="http://schemas.openxmlformats.org/drawingml/2006/main" prst="rect">
          <a:avLst/>
        </a:prstGeom>
        <a:solidFill xmlns:a="http://schemas.openxmlformats.org/drawingml/2006/main">
          <a:schemeClr val="tx2">
            <a:lumMod val="60000"/>
            <a:lumOff val="40000"/>
          </a:schemeClr>
        </a:solidFill>
      </cdr:spPr>
      <cdr:txBody>
        <a:bodyPr xmlns:a="http://schemas.openxmlformats.org/drawingml/2006/main" vertOverflow="clip" wrap="square" rtlCol="0"/>
        <a:lstStyle xmlns:a="http://schemas.openxmlformats.org/drawingml/2006/main"/>
        <a:p xmlns:a="http://schemas.openxmlformats.org/drawingml/2006/main">
          <a:r>
            <a:rPr lang="en-CA" sz="1100" b="1" baseline="0">
              <a:solidFill>
                <a:schemeClr val="bg1"/>
              </a:solidFill>
            </a:rPr>
            <a:t>2005-06</a:t>
          </a:r>
          <a:r>
            <a:rPr lang="en-CA" sz="1100" b="1">
              <a:solidFill>
                <a:schemeClr val="bg1"/>
              </a:solidFill>
            </a:rPr>
            <a:t> to 2009-10</a:t>
          </a:r>
        </a:p>
      </cdr:txBody>
    </cdr:sp>
  </cdr:relSizeAnchor>
  <cdr:relSizeAnchor xmlns:cdr="http://schemas.openxmlformats.org/drawingml/2006/chartDrawing">
    <cdr:from>
      <cdr:x>0.82446</cdr:x>
      <cdr:y>0.27145</cdr:y>
    </cdr:from>
    <cdr:to>
      <cdr:x>0.97961</cdr:x>
      <cdr:y>0.31357</cdr:y>
    </cdr:to>
    <cdr:sp macro="" textlink="">
      <cdr:nvSpPr>
        <cdr:cNvPr id="3" name="TextBox 2"/>
        <cdr:cNvSpPr txBox="1"/>
      </cdr:nvSpPr>
      <cdr:spPr>
        <a:xfrm xmlns:a="http://schemas.openxmlformats.org/drawingml/2006/main">
          <a:off x="7148660" y="1708610"/>
          <a:ext cx="1345283" cy="265128"/>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CA" sz="1100" b="1"/>
            <a:t>2005-06</a:t>
          </a:r>
          <a:r>
            <a:rPr lang="en-CA" sz="1100" b="1" baseline="0"/>
            <a:t> to 2010-11</a:t>
          </a:r>
          <a:endParaRPr lang="en-CA" sz="1100" b="1"/>
        </a:p>
      </cdr:txBody>
    </cdr:sp>
  </cdr:relSizeAnchor>
  <cdr:relSizeAnchor xmlns:cdr="http://schemas.openxmlformats.org/drawingml/2006/chartDrawing">
    <cdr:from>
      <cdr:x>0.82673</cdr:x>
      <cdr:y>0.32605</cdr:y>
    </cdr:from>
    <cdr:to>
      <cdr:x>0.97961</cdr:x>
      <cdr:y>0.3713</cdr:y>
    </cdr:to>
    <cdr:sp macro="" textlink="">
      <cdr:nvSpPr>
        <cdr:cNvPr id="4" name="TextBox 3"/>
        <cdr:cNvSpPr txBox="1"/>
      </cdr:nvSpPr>
      <cdr:spPr>
        <a:xfrm xmlns:a="http://schemas.openxmlformats.org/drawingml/2006/main">
          <a:off x="7168298" y="2052296"/>
          <a:ext cx="1325645" cy="284767"/>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1100" b="1"/>
            <a:t>2005-06 to 2011-12</a:t>
          </a:r>
        </a:p>
      </cdr:txBody>
    </cdr:sp>
  </cdr:relSizeAnchor>
</c:userShapes>
</file>

<file path=xl/drawings/drawing62.xml><?xml version="1.0" encoding="utf-8"?>
<xdr:wsDr xmlns:xdr="http://schemas.openxmlformats.org/drawingml/2006/spreadsheetDrawing" xmlns:a="http://schemas.openxmlformats.org/drawingml/2006/main">
  <xdr:absoluteAnchor>
    <xdr:pos x="17972" y="-26958"/>
    <xdr:ext cx="8680330" cy="629908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0.08799</cdr:x>
      <cdr:y>0.2097</cdr:y>
    </cdr:from>
    <cdr:to>
      <cdr:x>0.23292</cdr:x>
      <cdr:y>0.24679</cdr:y>
    </cdr:to>
    <cdr:sp macro="" textlink="">
      <cdr:nvSpPr>
        <cdr:cNvPr id="2" name="TextBox 1"/>
        <cdr:cNvSpPr txBox="1"/>
      </cdr:nvSpPr>
      <cdr:spPr>
        <a:xfrm xmlns:a="http://schemas.openxmlformats.org/drawingml/2006/main">
          <a:off x="763797" y="1320921"/>
          <a:ext cx="1258019" cy="233632"/>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r>
            <a:rPr lang="en-US" sz="1000" b="1" baseline="0">
              <a:solidFill>
                <a:schemeClr val="bg1"/>
              </a:solidFill>
            </a:rPr>
            <a:t>2005-06</a:t>
          </a:r>
          <a:r>
            <a:rPr lang="en-US" sz="1000" b="1">
              <a:solidFill>
                <a:schemeClr val="bg1"/>
              </a:solidFill>
            </a:rPr>
            <a:t> to 2009-10</a:t>
          </a:r>
        </a:p>
      </cdr:txBody>
    </cdr:sp>
  </cdr:relSizeAnchor>
  <cdr:relSizeAnchor xmlns:cdr="http://schemas.openxmlformats.org/drawingml/2006/chartDrawing">
    <cdr:from>
      <cdr:x>0.08592</cdr:x>
      <cdr:y>0.25678</cdr:y>
    </cdr:from>
    <cdr:to>
      <cdr:x>0.23085</cdr:x>
      <cdr:y>0.29101</cdr:y>
    </cdr:to>
    <cdr:sp macro="" textlink="">
      <cdr:nvSpPr>
        <cdr:cNvPr id="3" name="TextBox 2"/>
        <cdr:cNvSpPr txBox="1"/>
      </cdr:nvSpPr>
      <cdr:spPr>
        <a:xfrm xmlns:a="http://schemas.openxmlformats.org/drawingml/2006/main">
          <a:off x="745825" y="1617453"/>
          <a:ext cx="1258019" cy="215661"/>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US" sz="1000" b="1"/>
            <a:t>2005-06 to 2010-11</a:t>
          </a: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0.1427</cdr:x>
      <cdr:y>0.59594</cdr:y>
    </cdr:from>
    <cdr:to>
      <cdr:x>0.27633</cdr:x>
      <cdr:y>0.71607</cdr:y>
    </cdr:to>
    <cdr:sp macro="" textlink="">
      <cdr:nvSpPr>
        <cdr:cNvPr id="2" name="TextBox 1"/>
        <cdr:cNvSpPr txBox="1"/>
      </cdr:nvSpPr>
      <cdr:spPr>
        <a:xfrm xmlns:a="http://schemas.openxmlformats.org/drawingml/2006/main">
          <a:off x="1237268" y="3751082"/>
          <a:ext cx="1158711" cy="7561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CA" sz="11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CA" sz="1100" b="0" i="0" baseline="0">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0.45413</cdr:x>
      <cdr:y>0.65835</cdr:y>
    </cdr:from>
    <cdr:to>
      <cdr:x>0.61268</cdr:x>
      <cdr:y>0.78471</cdr:y>
    </cdr:to>
    <cdr:sp macro="" textlink="">
      <cdr:nvSpPr>
        <cdr:cNvPr id="3" name="TextBox 2"/>
        <cdr:cNvSpPr txBox="1"/>
      </cdr:nvSpPr>
      <cdr:spPr>
        <a:xfrm xmlns:a="http://schemas.openxmlformats.org/drawingml/2006/main">
          <a:off x="3937623" y="4143866"/>
          <a:ext cx="1374739" cy="795387"/>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p>
        <a:p xmlns:a="http://schemas.openxmlformats.org/drawingml/2006/main">
          <a:endParaRPr lang="en-CA" sz="1100"/>
        </a:p>
      </cdr:txBody>
    </cdr:sp>
  </cdr:relSizeAnchor>
  <cdr:relSizeAnchor xmlns:cdr="http://schemas.openxmlformats.org/drawingml/2006/chartDrawing">
    <cdr:from>
      <cdr:x>0.75878</cdr:x>
      <cdr:y>0.62246</cdr:y>
    </cdr:from>
    <cdr:to>
      <cdr:x>0.92299</cdr:x>
      <cdr:y>0.84867</cdr:y>
    </cdr:to>
    <cdr:sp macro="" textlink="">
      <cdr:nvSpPr>
        <cdr:cNvPr id="4" name="TextBox 3"/>
        <cdr:cNvSpPr txBox="1"/>
      </cdr:nvSpPr>
      <cdr:spPr>
        <a:xfrm xmlns:a="http://schemas.openxmlformats.org/drawingml/2006/main">
          <a:off x="6579151" y="3918015"/>
          <a:ext cx="1423815" cy="1423841"/>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a:t>
          </a:r>
        </a:p>
        <a:p xmlns:a="http://schemas.openxmlformats.org/drawingml/2006/main">
          <a:pPr algn="ctr"/>
          <a:r>
            <a:rPr lang="en-US" sz="1400" b="1">
              <a:latin typeface="+mn-lt"/>
              <a:ea typeface="+mn-ea"/>
              <a:cs typeface="+mn-cs"/>
            </a:rPr>
            <a:t> EXCL.</a:t>
          </a:r>
          <a:r>
            <a:rPr lang="en-US" sz="1400" b="1" baseline="0">
              <a:latin typeface="+mn-lt"/>
              <a:ea typeface="+mn-ea"/>
              <a:cs typeface="+mn-cs"/>
            </a:rPr>
            <a:t> SA &amp; </a:t>
          </a:r>
          <a:endParaRPr lang="en-US" sz="1400" b="1">
            <a:latin typeface="+mn-lt"/>
            <a:ea typeface="+mn-ea"/>
            <a:cs typeface="+mn-cs"/>
          </a:endParaRPr>
        </a:p>
        <a:p xmlns:a="http://schemas.openxmlformats.org/drawingml/2006/main">
          <a:pPr algn="ctr"/>
          <a:r>
            <a:rPr lang="en-US" sz="1400" b="1" baseline="0">
              <a:latin typeface="+mn-lt"/>
              <a:ea typeface="+mn-ea"/>
              <a:cs typeface="+mn-cs"/>
            </a:rPr>
            <a:t>FIRST NATIONS SA</a:t>
          </a:r>
          <a:endParaRPr lang="en-CA" sz="1400" b="1"/>
        </a:p>
      </cdr:txBody>
    </cdr:sp>
  </cdr:relSizeAnchor>
  <cdr:relSizeAnchor xmlns:cdr="http://schemas.openxmlformats.org/drawingml/2006/chartDrawing">
    <cdr:from>
      <cdr:x>0.14496</cdr:x>
      <cdr:y>0.65211</cdr:y>
    </cdr:from>
    <cdr:to>
      <cdr:x>0.30691</cdr:x>
      <cdr:y>0.81591</cdr:y>
    </cdr:to>
    <cdr:sp macro="" textlink="">
      <cdr:nvSpPr>
        <cdr:cNvPr id="5" name="TextBox 4"/>
        <cdr:cNvSpPr txBox="1"/>
      </cdr:nvSpPr>
      <cdr:spPr>
        <a:xfrm xmlns:a="http://schemas.openxmlformats.org/drawingml/2006/main">
          <a:off x="1256906" y="4104612"/>
          <a:ext cx="1404201" cy="1031016"/>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SA FOR THE</a:t>
          </a:r>
          <a:r>
            <a:rPr lang="en-US" sz="1400" b="1" baseline="0">
              <a:latin typeface="+mn-lt"/>
              <a:ea typeface="+mn-ea"/>
              <a:cs typeface="+mn-cs"/>
            </a:rPr>
            <a:t> DISABLED, </a:t>
          </a:r>
          <a:endParaRPr lang="en-US" sz="1400" b="1">
            <a:latin typeface="+mn-lt"/>
            <a:ea typeface="+mn-ea"/>
            <a:cs typeface="+mn-cs"/>
          </a:endParaRPr>
        </a:p>
        <a:p xmlns:a="http://schemas.openxmlformats.org/drawingml/2006/main">
          <a:pPr algn="ctr"/>
          <a:r>
            <a:rPr lang="en-US" sz="1400" b="1" baseline="0">
              <a:latin typeface="+mn-lt"/>
              <a:ea typeface="+mn-ea"/>
              <a:cs typeface="+mn-cs"/>
            </a:rPr>
            <a:t>INCL. FIRST NATIONS SA</a:t>
          </a:r>
          <a:endParaRPr lang="en-CA" sz="1400" b="1"/>
        </a:p>
      </cdr:txBody>
    </cdr:sp>
  </cdr:relSizeAnchor>
</c:userShapes>
</file>

<file path=xl/drawings/drawing66.xml><?xml version="1.0" encoding="utf-8"?>
<xdr:wsDr xmlns:xdr="http://schemas.openxmlformats.org/drawingml/2006/spreadsheetDrawing" xmlns:a="http://schemas.openxmlformats.org/drawingml/2006/main">
  <xdr:absoluteAnchor>
    <xdr:pos x="0" y="26958"/>
    <xdr:ext cx="8680330" cy="629908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0.09317</cdr:x>
      <cdr:y>0.62767</cdr:y>
    </cdr:from>
    <cdr:to>
      <cdr:x>0.31263</cdr:x>
      <cdr:y>0.78174</cdr:y>
    </cdr:to>
    <cdr:sp macro="" textlink="">
      <cdr:nvSpPr>
        <cdr:cNvPr id="2" name="TextBox 1"/>
        <cdr:cNvSpPr txBox="1"/>
      </cdr:nvSpPr>
      <cdr:spPr>
        <a:xfrm xmlns:a="http://schemas.openxmlformats.org/drawingml/2006/main">
          <a:off x="808727" y="3953773"/>
          <a:ext cx="1905000" cy="970472"/>
        </a:xfrm>
        <a:prstGeom xmlns:a="http://schemas.openxmlformats.org/drawingml/2006/main" prst="rect">
          <a:avLst/>
        </a:prstGeom>
        <a:solidFill xmlns:a="http://schemas.openxmlformats.org/drawingml/2006/main">
          <a:srgbClr val="EEECE1">
            <a:lumMod val="90000"/>
          </a:srgbClr>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SA FOR THE</a:t>
          </a:r>
          <a:r>
            <a:rPr lang="en-US" sz="1400" b="1" baseline="0">
              <a:latin typeface="+mn-lt"/>
              <a:ea typeface="+mn-ea"/>
              <a:cs typeface="+mn-cs"/>
            </a:rPr>
            <a:t> DISABLED, </a:t>
          </a:r>
          <a:endParaRPr lang="en-US" sz="1400" b="1"/>
        </a:p>
        <a:p xmlns:a="http://schemas.openxmlformats.org/drawingml/2006/main">
          <a:pPr algn="ctr"/>
          <a:r>
            <a:rPr lang="en-US" sz="1400" b="1" baseline="0">
              <a:latin typeface="+mn-lt"/>
              <a:ea typeface="+mn-ea"/>
              <a:cs typeface="+mn-cs"/>
            </a:rPr>
            <a:t>INCL. FIRST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0.40994</cdr:x>
      <cdr:y>0.65193</cdr:y>
    </cdr:from>
    <cdr:to>
      <cdr:x>0.62319</cdr:x>
      <cdr:y>0.78452</cdr:y>
    </cdr:to>
    <cdr:sp macro="" textlink="">
      <cdr:nvSpPr>
        <cdr:cNvPr id="3" name="TextBox 2"/>
        <cdr:cNvSpPr txBox="1"/>
      </cdr:nvSpPr>
      <cdr:spPr>
        <a:xfrm xmlns:a="http://schemas.openxmlformats.org/drawingml/2006/main">
          <a:off x="3558414" y="4106559"/>
          <a:ext cx="1851081" cy="835194"/>
        </a:xfrm>
        <a:prstGeom xmlns:a="http://schemas.openxmlformats.org/drawingml/2006/main" prst="rect">
          <a:avLst/>
        </a:prstGeom>
        <a:solidFill xmlns:a="http://schemas.openxmlformats.org/drawingml/2006/main">
          <a:srgbClr val="EEECE1">
            <a:lumMod val="90000"/>
          </a:srgbClr>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 INCOME SUPPORT FOR THE DISABLED</a:t>
          </a:r>
          <a:endParaRPr lang="en-US" sz="1400" b="1"/>
        </a:p>
        <a:p xmlns:a="http://schemas.openxmlformats.org/drawingml/2006/main">
          <a:endParaRPr lang="en-US" sz="1100"/>
        </a:p>
      </cdr:txBody>
    </cdr:sp>
  </cdr:relSizeAnchor>
  <cdr:relSizeAnchor xmlns:cdr="http://schemas.openxmlformats.org/drawingml/2006/chartDrawing">
    <cdr:from>
      <cdr:x>0.71325</cdr:x>
      <cdr:y>0.67047</cdr:y>
    </cdr:from>
    <cdr:to>
      <cdr:x>0.93892</cdr:x>
      <cdr:y>0.85877</cdr:y>
    </cdr:to>
    <cdr:sp macro="" textlink="">
      <cdr:nvSpPr>
        <cdr:cNvPr id="4" name="TextBox 3"/>
        <cdr:cNvSpPr txBox="1"/>
      </cdr:nvSpPr>
      <cdr:spPr>
        <a:xfrm xmlns:a="http://schemas.openxmlformats.org/drawingml/2006/main">
          <a:off x="6191249" y="4223349"/>
          <a:ext cx="1958915" cy="1186132"/>
        </a:xfrm>
        <a:prstGeom xmlns:a="http://schemas.openxmlformats.org/drawingml/2006/main" prst="rect">
          <a:avLst/>
        </a:prstGeom>
        <a:solidFill xmlns:a="http://schemas.openxmlformats.org/drawingml/2006/main">
          <a:srgbClr val="EEECE1">
            <a:lumMod val="90000"/>
          </a:srgbClr>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 INCOME SUPPORT FOR THE DISABLED</a:t>
          </a:r>
          <a:endParaRPr lang="en-US" sz="1400"/>
        </a:p>
        <a:p xmlns:a="http://schemas.openxmlformats.org/drawingml/2006/main">
          <a:pPr algn="ctr"/>
          <a:r>
            <a:rPr lang="en-US" sz="1400" b="1">
              <a:latin typeface="+mn-lt"/>
              <a:ea typeface="+mn-ea"/>
              <a:cs typeface="+mn-cs"/>
            </a:rPr>
            <a:t> EXCL.</a:t>
          </a:r>
          <a:r>
            <a:rPr lang="en-US" sz="1400" b="1" baseline="0">
              <a:latin typeface="+mn-lt"/>
              <a:ea typeface="+mn-ea"/>
              <a:cs typeface="+mn-cs"/>
            </a:rPr>
            <a:t> SA &amp; </a:t>
          </a:r>
          <a:endParaRPr lang="en-US" sz="1400"/>
        </a:p>
        <a:p xmlns:a="http://schemas.openxmlformats.org/drawingml/2006/main">
          <a:pPr algn="ctr"/>
          <a:r>
            <a:rPr lang="en-US" sz="1400" b="1" baseline="0">
              <a:latin typeface="+mn-lt"/>
              <a:ea typeface="+mn-ea"/>
              <a:cs typeface="+mn-cs"/>
            </a:rPr>
            <a:t>FIRST NATIONS SA</a:t>
          </a:r>
          <a:endParaRPr lang="en-US" sz="1400" b="1">
            <a:latin typeface="+mn-lt"/>
            <a:ea typeface="+mn-ea"/>
            <a:cs typeface="+mn-cs"/>
          </a:endParaRPr>
        </a:p>
        <a:p xmlns:a="http://schemas.openxmlformats.org/drawingml/2006/main">
          <a:endParaRPr lang="en-US" sz="1100"/>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c:userShapes xmlns:c="http://schemas.openxmlformats.org/drawingml/2006/chart">
  <cdr:relSizeAnchor xmlns:cdr="http://schemas.openxmlformats.org/drawingml/2006/chartDrawing">
    <cdr:from>
      <cdr:x>0.10411</cdr:x>
      <cdr:y>0.51318</cdr:y>
    </cdr:from>
    <cdr:to>
      <cdr:x>0.30111</cdr:x>
      <cdr:y>0.72005</cdr:y>
    </cdr:to>
    <cdr:sp macro="" textlink="">
      <cdr:nvSpPr>
        <cdr:cNvPr id="2" name="TextBox 1"/>
        <cdr:cNvSpPr txBox="1"/>
      </cdr:nvSpPr>
      <cdr:spPr>
        <a:xfrm xmlns:a="http://schemas.openxmlformats.org/drawingml/2006/main">
          <a:off x="903400" y="3233281"/>
          <a:ext cx="1709440" cy="13033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a:latin typeface="+mn-lt"/>
              <a:ea typeface="+mn-ea"/>
              <a:cs typeface="+mn-cs"/>
            </a:rPr>
            <a:t>TOTAL SA FOR PERSONS WITH DISABILITIES</a:t>
          </a:r>
          <a:r>
            <a:rPr lang="en-US" sz="1400" b="1" i="0" baseline="0">
              <a:latin typeface="+mn-lt"/>
              <a:ea typeface="+mn-ea"/>
              <a:cs typeface="+mn-cs"/>
            </a:rPr>
            <a:t>, </a:t>
          </a:r>
          <a:endParaRPr lang="en-US" sz="1400" b="1" i="0"/>
        </a:p>
        <a:p xmlns:a="http://schemas.openxmlformats.org/drawingml/2006/main">
          <a:pPr algn="ctr"/>
          <a:r>
            <a:rPr lang="en-US" sz="1400" b="1" i="0" baseline="0">
              <a:latin typeface="+mn-lt"/>
              <a:ea typeface="+mn-ea"/>
              <a:cs typeface="+mn-cs"/>
            </a:rPr>
            <a:t>INCL. FIRST NATIONS SA</a:t>
          </a:r>
          <a:endParaRPr lang="en-US" sz="1400" b="1" i="0"/>
        </a:p>
      </cdr:txBody>
    </cdr:sp>
  </cdr:relSizeAnchor>
  <cdr:relSizeAnchor xmlns:cdr="http://schemas.openxmlformats.org/drawingml/2006/chartDrawing">
    <cdr:from>
      <cdr:x>0.43605</cdr:x>
      <cdr:y>0.69667</cdr:y>
    </cdr:from>
    <cdr:to>
      <cdr:x>0.60121</cdr:x>
      <cdr:y>0.86967</cdr:y>
    </cdr:to>
    <cdr:sp macro="" textlink="">
      <cdr:nvSpPr>
        <cdr:cNvPr id="3" name="TextBox 2"/>
        <cdr:cNvSpPr txBox="1"/>
      </cdr:nvSpPr>
      <cdr:spPr>
        <a:xfrm xmlns:a="http://schemas.openxmlformats.org/drawingml/2006/main">
          <a:off x="3783764" y="4389356"/>
          <a:ext cx="1433153" cy="10899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i="0" baseline="0">
              <a:latin typeface="+mn-lt"/>
              <a:ea typeface="+mn-ea"/>
              <a:cs typeface="+mn-cs"/>
            </a:rPr>
            <a:t>TOTAL INCOME SUPPORT FOR PERSONS WITH DISABILITIES</a:t>
          </a:r>
          <a:endParaRPr lang="en-US" sz="1100"/>
        </a:p>
      </cdr:txBody>
    </cdr:sp>
  </cdr:relSizeAnchor>
  <cdr:relSizeAnchor xmlns:cdr="http://schemas.openxmlformats.org/drawingml/2006/chartDrawing">
    <cdr:from>
      <cdr:x>0.74824</cdr:x>
      <cdr:y>0.74031</cdr:y>
    </cdr:from>
    <cdr:to>
      <cdr:x>0.9144</cdr:x>
      <cdr:y>0.97409</cdr:y>
    </cdr:to>
    <cdr:sp macro="" textlink="">
      <cdr:nvSpPr>
        <cdr:cNvPr id="4" name="TextBox 3"/>
        <cdr:cNvSpPr txBox="1"/>
      </cdr:nvSpPr>
      <cdr:spPr>
        <a:xfrm xmlns:a="http://schemas.openxmlformats.org/drawingml/2006/main">
          <a:off x="6492749" y="4664304"/>
          <a:ext cx="1441831" cy="14729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i="0">
              <a:latin typeface="+mn-lt"/>
              <a:ea typeface="+mn-ea"/>
              <a:cs typeface="+mn-cs"/>
            </a:rPr>
            <a:t>TOTAL INCOME SUPPORT FOR PWD</a:t>
          </a:r>
          <a:endParaRPr lang="en-US" sz="1400" b="1" i="0"/>
        </a:p>
        <a:p xmlns:a="http://schemas.openxmlformats.org/drawingml/2006/main">
          <a:pPr algn="ctr"/>
          <a:r>
            <a:rPr lang="en-US" sz="1400" b="1" i="0">
              <a:latin typeface="+mn-lt"/>
              <a:ea typeface="+mn-ea"/>
              <a:cs typeface="+mn-cs"/>
            </a:rPr>
            <a:t> EXCL.</a:t>
          </a:r>
          <a:r>
            <a:rPr lang="en-US" sz="1400" b="1" i="0" baseline="0">
              <a:latin typeface="+mn-lt"/>
              <a:ea typeface="+mn-ea"/>
              <a:cs typeface="+mn-cs"/>
            </a:rPr>
            <a:t> SA &amp; </a:t>
          </a:r>
          <a:endParaRPr lang="en-US" sz="1400" b="1" i="0"/>
        </a:p>
        <a:p xmlns:a="http://schemas.openxmlformats.org/drawingml/2006/main">
          <a:pPr algn="ctr"/>
          <a:r>
            <a:rPr lang="en-US" sz="1400" b="1" i="0" baseline="0">
              <a:latin typeface="+mn-lt"/>
              <a:ea typeface="+mn-ea"/>
              <a:cs typeface="+mn-cs"/>
            </a:rPr>
            <a:t>FIRST NATIONS SA</a:t>
          </a:r>
          <a:endParaRPr lang="en-US" sz="1400" b="1" i="0">
            <a:latin typeface="+mn-lt"/>
            <a:ea typeface="+mn-ea"/>
            <a:cs typeface="+mn-cs"/>
          </a:endParaRPr>
        </a:p>
        <a:p xmlns:a="http://schemas.openxmlformats.org/drawingml/2006/main">
          <a:endParaRPr lang="en-US" sz="1100"/>
        </a:p>
      </cdr:txBody>
    </cdr:sp>
  </cdr:relSizeAnchor>
</c:userShapes>
</file>

<file path=xl/drawings/drawing7.xml><?xml version="1.0" encoding="utf-8"?>
<c:userShapes xmlns:c="http://schemas.openxmlformats.org/drawingml/2006/chart">
  <cdr:relSizeAnchor xmlns:cdr="http://schemas.openxmlformats.org/drawingml/2006/chartDrawing">
    <cdr:from>
      <cdr:x>0.03927</cdr:x>
      <cdr:y>0.87517</cdr:y>
    </cdr:from>
    <cdr:to>
      <cdr:x>0.29153</cdr:x>
      <cdr:y>0.98474</cdr:y>
    </cdr:to>
    <cdr:sp macro="" textlink="">
      <cdr:nvSpPr>
        <cdr:cNvPr id="2" name="TextBox 1"/>
        <cdr:cNvSpPr txBox="1"/>
      </cdr:nvSpPr>
      <cdr:spPr>
        <a:xfrm xmlns:a="http://schemas.openxmlformats.org/drawingml/2006/main">
          <a:off x="340760" y="5514013"/>
          <a:ext cx="2188951" cy="690323"/>
        </a:xfrm>
        <a:prstGeom xmlns:a="http://schemas.openxmlformats.org/drawingml/2006/main" prst="rect">
          <a:avLst/>
        </a:prstGeom>
        <a:solidFill xmlns:a="http://schemas.openxmlformats.org/drawingml/2006/main">
          <a:srgbClr val="FFC000"/>
        </a:solidFill>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000" b="1" i="1"/>
            <a:t>Oct. 2012</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50" b="0" i="1">
              <a:latin typeface="+mn-lt"/>
              <a:ea typeface="+mn-ea"/>
              <a:cs typeface="+mn-cs"/>
            </a:rPr>
            <a:t>SA</a:t>
          </a:r>
          <a:r>
            <a:rPr lang="en-US" sz="950" b="0" i="1" baseline="0">
              <a:latin typeface="+mn-lt"/>
              <a:ea typeface="+mn-ea"/>
              <a:cs typeface="+mn-cs"/>
            </a:rPr>
            <a:t>  - Disabled component revised  (SA includes First Nations SA and AISH)</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950" b="0" i="1" baseline="0">
              <a:latin typeface="+mn-lt"/>
              <a:ea typeface="+mn-ea"/>
              <a:cs typeface="+mn-cs"/>
            </a:rPr>
            <a:t>Total </a:t>
          </a:r>
          <a:r>
            <a:rPr lang="en-US" sz="950" b="0" i="1"/>
            <a:t>revised </a:t>
          </a:r>
        </a:p>
      </cdr:txBody>
    </cdr:sp>
  </cdr:relSizeAnchor>
</c:userShapes>
</file>

<file path=xl/drawings/drawing7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1.xml><?xml version="1.0" encoding="utf-8"?>
<c:userShapes xmlns:c="http://schemas.openxmlformats.org/drawingml/2006/chart">
  <cdr:relSizeAnchor xmlns:cdr="http://schemas.openxmlformats.org/drawingml/2006/chartDrawing">
    <cdr:from>
      <cdr:x>0.17019</cdr:x>
      <cdr:y>0.73061</cdr:y>
    </cdr:from>
    <cdr:to>
      <cdr:x>0.24975</cdr:x>
      <cdr:y>0.73786</cdr:y>
    </cdr:to>
    <cdr:sp macro="" textlink="">
      <cdr:nvSpPr>
        <cdr:cNvPr id="2" name="TextBox 1"/>
        <cdr:cNvSpPr txBox="1"/>
      </cdr:nvSpPr>
      <cdr:spPr>
        <a:xfrm xmlns:a="http://schemas.openxmlformats.org/drawingml/2006/main">
          <a:off x="1476812" y="4603180"/>
          <a:ext cx="690344" cy="45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0.10272</cdr:x>
      <cdr:y>0.63245</cdr:y>
    </cdr:from>
    <cdr:to>
      <cdr:x>0.25176</cdr:x>
      <cdr:y>0.78779</cdr:y>
    </cdr:to>
    <cdr:sp macro="" textlink="">
      <cdr:nvSpPr>
        <cdr:cNvPr id="3" name="TextBox 2"/>
        <cdr:cNvSpPr txBox="1"/>
      </cdr:nvSpPr>
      <cdr:spPr>
        <a:xfrm xmlns:a="http://schemas.openxmlformats.org/drawingml/2006/main">
          <a:off x="891330" y="3984740"/>
          <a:ext cx="1293303" cy="9787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en-US" sz="1400" b="1"/>
        </a:p>
      </cdr:txBody>
    </cdr:sp>
  </cdr:relSizeAnchor>
  <cdr:relSizeAnchor xmlns:cdr="http://schemas.openxmlformats.org/drawingml/2006/chartDrawing">
    <cdr:from>
      <cdr:x>0.43102</cdr:x>
      <cdr:y>0.54369</cdr:y>
    </cdr:from>
    <cdr:to>
      <cdr:x>0.62638</cdr:x>
      <cdr:y>0.75867</cdr:y>
    </cdr:to>
    <cdr:sp macro="" textlink="">
      <cdr:nvSpPr>
        <cdr:cNvPr id="4" name="TextBox 3"/>
        <cdr:cNvSpPr txBox="1"/>
      </cdr:nvSpPr>
      <cdr:spPr>
        <a:xfrm xmlns:a="http://schemas.openxmlformats.org/drawingml/2006/main">
          <a:off x="3740093" y="3425509"/>
          <a:ext cx="1695274" cy="1354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a:t>
          </a:r>
        </a:p>
      </cdr:txBody>
    </cdr:sp>
  </cdr:relSizeAnchor>
  <cdr:relSizeAnchor xmlns:cdr="http://schemas.openxmlformats.org/drawingml/2006/chartDrawing">
    <cdr:from>
      <cdr:x>0.75529</cdr:x>
      <cdr:y>0.50485</cdr:y>
    </cdr:from>
    <cdr:to>
      <cdr:x>0.91138</cdr:x>
      <cdr:y>0.73648</cdr:y>
    </cdr:to>
    <cdr:sp macro="" textlink="">
      <cdr:nvSpPr>
        <cdr:cNvPr id="5" name="TextBox 4"/>
        <cdr:cNvSpPr txBox="1"/>
      </cdr:nvSpPr>
      <cdr:spPr>
        <a:xfrm xmlns:a="http://schemas.openxmlformats.org/drawingml/2006/main">
          <a:off x="6553899" y="3180826"/>
          <a:ext cx="1354473" cy="14593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0.75025</cdr:x>
      <cdr:y>0.53814</cdr:y>
    </cdr:from>
    <cdr:to>
      <cdr:x>0.93253</cdr:x>
      <cdr:y>0.7767</cdr:y>
    </cdr:to>
    <cdr:sp macro="" textlink="">
      <cdr:nvSpPr>
        <cdr:cNvPr id="6" name="TextBox 5"/>
        <cdr:cNvSpPr txBox="1"/>
      </cdr:nvSpPr>
      <cdr:spPr>
        <a:xfrm xmlns:a="http://schemas.openxmlformats.org/drawingml/2006/main">
          <a:off x="6510206" y="3390540"/>
          <a:ext cx="1581675" cy="15030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INCOME SUPPORT FOR THE DISABLED</a:t>
          </a:r>
        </a:p>
        <a:p xmlns:a="http://schemas.openxmlformats.org/drawingml/2006/main">
          <a:pPr algn="ctr"/>
          <a:r>
            <a:rPr lang="en-US" sz="1400" b="1"/>
            <a:t> EXCL.</a:t>
          </a:r>
          <a:r>
            <a:rPr lang="en-US" sz="1400" b="1" baseline="0"/>
            <a:t> SA &amp; </a:t>
          </a:r>
        </a:p>
        <a:p xmlns:a="http://schemas.openxmlformats.org/drawingml/2006/main">
          <a:pPr algn="ctr"/>
          <a:r>
            <a:rPr lang="en-US" sz="1400" b="1" baseline="0"/>
            <a:t>FIRST NATIONS SA</a:t>
          </a:r>
          <a:endParaRPr lang="en-US" sz="1400" b="1"/>
        </a:p>
      </cdr:txBody>
    </cdr:sp>
  </cdr:relSizeAnchor>
  <cdr:relSizeAnchor xmlns:cdr="http://schemas.openxmlformats.org/drawingml/2006/chartDrawing">
    <cdr:from>
      <cdr:x>0.12085</cdr:x>
      <cdr:y>0.50208</cdr:y>
    </cdr:from>
    <cdr:to>
      <cdr:x>0.31621</cdr:x>
      <cdr:y>0.70319</cdr:y>
    </cdr:to>
    <cdr:sp macro="" textlink="">
      <cdr:nvSpPr>
        <cdr:cNvPr id="8" name="TextBox 7"/>
        <cdr:cNvSpPr txBox="1"/>
      </cdr:nvSpPr>
      <cdr:spPr>
        <a:xfrm xmlns:a="http://schemas.openxmlformats.org/drawingml/2006/main">
          <a:off x="1048625" y="3163346"/>
          <a:ext cx="1695274" cy="12670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 SA FOR THE</a:t>
          </a:r>
          <a:r>
            <a:rPr lang="en-US" sz="1400" b="1" baseline="0"/>
            <a:t> DISABLED, </a:t>
          </a:r>
        </a:p>
        <a:p xmlns:a="http://schemas.openxmlformats.org/drawingml/2006/main">
          <a:pPr algn="ctr"/>
          <a:r>
            <a:rPr lang="en-US" sz="1400" b="1" baseline="0"/>
            <a:t>INCL. FIRST NATIONS SA</a:t>
          </a:r>
          <a:endParaRPr lang="en-US" sz="1400" b="1"/>
        </a:p>
      </cdr:txBody>
    </cdr:sp>
  </cdr:relSizeAnchor>
  <cdr:relSizeAnchor xmlns:cdr="http://schemas.openxmlformats.org/drawingml/2006/chartDrawing">
    <cdr:from>
      <cdr:x>0.79456</cdr:x>
      <cdr:y>0.19834</cdr:y>
    </cdr:from>
    <cdr:to>
      <cdr:x>0.96641</cdr:x>
      <cdr:y>0.24411</cdr:y>
    </cdr:to>
    <cdr:sp macro="" textlink="">
      <cdr:nvSpPr>
        <cdr:cNvPr id="9" name="TextBox 8"/>
        <cdr:cNvSpPr txBox="1"/>
      </cdr:nvSpPr>
      <cdr:spPr>
        <a:xfrm xmlns:a="http://schemas.openxmlformats.org/drawingml/2006/main">
          <a:off x="6894685" y="1249638"/>
          <a:ext cx="1491243" cy="288373"/>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i="1">
              <a:latin typeface="+mn-lt"/>
              <a:ea typeface="+mn-ea"/>
              <a:cs typeface="+mn-cs"/>
            </a:rPr>
            <a:t>Revised  October 2012</a:t>
          </a:r>
          <a:endParaRPr lang="en-US"/>
        </a:p>
        <a:p xmlns:a="http://schemas.openxmlformats.org/drawingml/2006/main">
          <a:endParaRPr lang="en-US" sz="1100"/>
        </a:p>
      </cdr:txBody>
    </cdr:sp>
  </cdr:relSizeAnchor>
</c:userShapes>
</file>

<file path=xl/drawings/drawing72.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3.xml><?xml version="1.0" encoding="utf-8"?>
<xdr:wsDr xmlns:xdr="http://schemas.openxmlformats.org/drawingml/2006/spreadsheetDrawing" xmlns:a="http://schemas.openxmlformats.org/drawingml/2006/main">
  <xdr:absoluteAnchor>
    <xdr:pos x="19639"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xdr:wsDr xmlns:xdr="http://schemas.openxmlformats.org/drawingml/2006/spreadsheetDrawing" xmlns:a="http://schemas.openxmlformats.org/drawingml/2006/main">
  <xdr:absoluteAnchor>
    <xdr:pos x="19639" y="-29459"/>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5.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xdr:wsDr xmlns:xdr="http://schemas.openxmlformats.org/drawingml/2006/spreadsheetDrawing" xmlns:a="http://schemas.openxmlformats.org/drawingml/2006/main">
  <xdr:absoluteAnchor>
    <xdr:pos x="26216"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xdr:wsDr xmlns:xdr="http://schemas.openxmlformats.org/drawingml/2006/spreadsheetDrawing" xmlns:a="http://schemas.openxmlformats.org/drawingml/2006/main">
  <xdr:absoluteAnchor>
    <xdr:pos x="-29459" y="-29459"/>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0.7797</cdr:x>
      <cdr:y>0.8405</cdr:y>
    </cdr:from>
    <cdr:to>
      <cdr:x>0.97885</cdr:x>
      <cdr:y>0.97253</cdr:y>
    </cdr:to>
    <cdr:sp macro="" textlink="">
      <cdr:nvSpPr>
        <cdr:cNvPr id="2" name="TextBox 1"/>
        <cdr:cNvSpPr txBox="1"/>
      </cdr:nvSpPr>
      <cdr:spPr>
        <a:xfrm xmlns:a="http://schemas.openxmlformats.org/drawingml/2006/main">
          <a:off x="6765696" y="5295554"/>
          <a:ext cx="1728140" cy="831869"/>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pPr algn="l"/>
          <a:r>
            <a:rPr lang="en-US" sz="950" b="1" i="1"/>
            <a:t>October 2012</a:t>
          </a:r>
        </a:p>
        <a:p xmlns:a="http://schemas.openxmlformats.org/drawingml/2006/main">
          <a:pPr algn="l"/>
          <a:r>
            <a:rPr lang="en-US" sz="950" b="0" i="1"/>
            <a:t>First</a:t>
          </a:r>
          <a:r>
            <a:rPr lang="en-US" sz="950" b="0" i="1" baseline="0"/>
            <a:t> Nations SA for Disabled revised</a:t>
          </a:r>
          <a:endParaRPr lang="en-US" sz="950" b="0" i="1"/>
        </a:p>
        <a:p xmlns:a="http://schemas.openxmlformats.org/drawingml/2006/main">
          <a:pPr algn="l"/>
          <a:r>
            <a:rPr lang="en-US" sz="950" b="0" i="1"/>
            <a:t>Disability</a:t>
          </a:r>
          <a:r>
            <a:rPr lang="en-US" sz="950" b="0" i="1" baseline="0"/>
            <a:t> Tax Measures revised</a:t>
          </a:r>
        </a:p>
        <a:p xmlns:a="http://schemas.openxmlformats.org/drawingml/2006/main">
          <a:pPr algn="l"/>
          <a:r>
            <a:rPr lang="en-US" sz="950" b="0" i="1" baseline="0"/>
            <a:t>Total revised</a:t>
          </a:r>
          <a:endParaRPr lang="en-US" sz="950" b="0" i="1"/>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89837" cy="630168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1.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0.79955</cdr:x>
      <cdr:y>0.22153</cdr:y>
    </cdr:from>
    <cdr:to>
      <cdr:x>0.94677</cdr:x>
      <cdr:y>0.26677</cdr:y>
    </cdr:to>
    <cdr:sp macro="" textlink="">
      <cdr:nvSpPr>
        <cdr:cNvPr id="2" name="TextBox 1"/>
        <cdr:cNvSpPr txBox="1"/>
      </cdr:nvSpPr>
      <cdr:spPr>
        <a:xfrm xmlns:a="http://schemas.openxmlformats.org/drawingml/2006/main">
          <a:off x="6932627" y="1394381"/>
          <a:ext cx="1276547" cy="284768"/>
        </a:xfrm>
        <a:prstGeom xmlns:a="http://schemas.openxmlformats.org/drawingml/2006/main" prst="rect">
          <a:avLst/>
        </a:prstGeom>
        <a:solidFill xmlns:a="http://schemas.openxmlformats.org/drawingml/2006/main">
          <a:schemeClr val="accent1"/>
        </a:solidFill>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000" b="1" baseline="0">
              <a:solidFill>
                <a:schemeClr val="bg1"/>
              </a:solidFill>
              <a:latin typeface="+mn-lt"/>
              <a:ea typeface="+mn-ea"/>
              <a:cs typeface="+mn-cs"/>
            </a:rPr>
            <a:t>2005-06 to 2009-10</a:t>
          </a:r>
          <a:endParaRPr lang="en-CA" sz="1000">
            <a:solidFill>
              <a:schemeClr val="bg1"/>
            </a:solidFill>
          </a:endParaRPr>
        </a:p>
        <a:p xmlns:a="http://schemas.openxmlformats.org/drawingml/2006/main">
          <a:endParaRPr lang="en-CA" sz="1100"/>
        </a:p>
      </cdr:txBody>
    </cdr:sp>
  </cdr:relSizeAnchor>
  <cdr:relSizeAnchor xmlns:cdr="http://schemas.openxmlformats.org/drawingml/2006/chartDrawing">
    <cdr:from>
      <cdr:x>0.80068</cdr:x>
      <cdr:y>0.27457</cdr:y>
    </cdr:from>
    <cdr:to>
      <cdr:x>0.94677</cdr:x>
      <cdr:y>0.31045</cdr:y>
    </cdr:to>
    <cdr:sp macro="" textlink="">
      <cdr:nvSpPr>
        <cdr:cNvPr id="3" name="TextBox 2"/>
        <cdr:cNvSpPr txBox="1"/>
      </cdr:nvSpPr>
      <cdr:spPr>
        <a:xfrm xmlns:a="http://schemas.openxmlformats.org/drawingml/2006/main">
          <a:off x="6942448" y="1728248"/>
          <a:ext cx="1266727" cy="225850"/>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CA" sz="1000" b="1"/>
            <a:t>2005-06 to 2010-11</a:t>
          </a:r>
        </a:p>
      </cdr:txBody>
    </cdr:sp>
  </cdr:relSizeAnchor>
  <cdr:relSizeAnchor xmlns:cdr="http://schemas.openxmlformats.org/drawingml/2006/chartDrawing">
    <cdr:from>
      <cdr:x>0.80068</cdr:x>
      <cdr:y>0.37754</cdr:y>
    </cdr:from>
    <cdr:to>
      <cdr:x>0.90614</cdr:x>
      <cdr:y>0.52281</cdr:y>
    </cdr:to>
    <cdr:sp macro="" textlink="">
      <cdr:nvSpPr>
        <cdr:cNvPr id="4" name="TextBox 3"/>
        <cdr:cNvSpPr txBox="1"/>
      </cdr:nvSpPr>
      <cdr:spPr>
        <a:xfrm xmlns:a="http://schemas.openxmlformats.org/drawingml/2006/main">
          <a:off x="6942448" y="237634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CA" sz="1100"/>
        </a:p>
      </cdr:txBody>
    </cdr:sp>
  </cdr:relSizeAnchor>
  <cdr:relSizeAnchor xmlns:cdr="http://schemas.openxmlformats.org/drawingml/2006/chartDrawing">
    <cdr:from>
      <cdr:x>0.79841</cdr:x>
      <cdr:y>0.32761</cdr:y>
    </cdr:from>
    <cdr:to>
      <cdr:x>0.94677</cdr:x>
      <cdr:y>0.36973</cdr:y>
    </cdr:to>
    <cdr:sp macro="" textlink="">
      <cdr:nvSpPr>
        <cdr:cNvPr id="5" name="TextBox 4"/>
        <cdr:cNvSpPr txBox="1"/>
      </cdr:nvSpPr>
      <cdr:spPr>
        <a:xfrm xmlns:a="http://schemas.openxmlformats.org/drawingml/2006/main">
          <a:off x="6922810" y="2062113"/>
          <a:ext cx="1286366" cy="265129"/>
        </a:xfrm>
        <a:prstGeom xmlns:a="http://schemas.openxmlformats.org/drawingml/2006/main" prst="rect">
          <a:avLst/>
        </a:prstGeom>
        <a:solidFill xmlns:a="http://schemas.openxmlformats.org/drawingml/2006/main">
          <a:schemeClr val="accent6">
            <a:lumMod val="75000"/>
          </a:schemeClr>
        </a:solidFill>
      </cdr:spPr>
      <cdr:txBody>
        <a:bodyPr xmlns:a="http://schemas.openxmlformats.org/drawingml/2006/main" vertOverflow="clip" wrap="square" rtlCol="0"/>
        <a:lstStyle xmlns:a="http://schemas.openxmlformats.org/drawingml/2006/main"/>
        <a:p xmlns:a="http://schemas.openxmlformats.org/drawingml/2006/main">
          <a:r>
            <a:rPr lang="en-CA" sz="1000" b="1"/>
            <a:t>2005-06 to 2011-12</a:t>
          </a: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0.10079</cdr:x>
      <cdr:y>0.60842</cdr:y>
    </cdr:from>
    <cdr:to>
      <cdr:x>0.30464</cdr:x>
      <cdr:y>0.77691</cdr:y>
    </cdr:to>
    <cdr:sp macro="" textlink="">
      <cdr:nvSpPr>
        <cdr:cNvPr id="2" name="TextBox 1"/>
        <cdr:cNvSpPr txBox="1"/>
      </cdr:nvSpPr>
      <cdr:spPr>
        <a:xfrm xmlns:a="http://schemas.openxmlformats.org/drawingml/2006/main">
          <a:off x="873943" y="3829639"/>
          <a:ext cx="1767526" cy="1060516"/>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INCOME ASSISTANCE</a:t>
          </a:r>
          <a:endParaRPr lang="en-US" sz="1400">
            <a:latin typeface="+mn-lt"/>
            <a:ea typeface="+mn-ea"/>
            <a:cs typeface="+mn-cs"/>
          </a:endParaRPr>
        </a:p>
        <a:p xmlns:a="http://schemas.openxmlformats.org/drawingml/2006/main">
          <a:pPr algn="ctr"/>
          <a:r>
            <a:rPr lang="en-US" sz="1400" b="1" baseline="0">
              <a:latin typeface="+mn-lt"/>
              <a:ea typeface="+mn-ea"/>
              <a:cs typeface="+mn-cs"/>
            </a:rPr>
            <a:t> FOR THE DISABLED</a:t>
          </a:r>
          <a:endParaRPr lang="en-US" sz="1400">
            <a:latin typeface="+mn-lt"/>
            <a:ea typeface="+mn-ea"/>
            <a:cs typeface="+mn-cs"/>
          </a:endParaRPr>
        </a:p>
        <a:p xmlns:a="http://schemas.openxmlformats.org/drawingml/2006/main">
          <a:pPr algn="ctr"/>
          <a:r>
            <a:rPr lang="en-US" sz="1400" b="1" baseline="0">
              <a:latin typeface="+mn-lt"/>
              <a:ea typeface="+mn-ea"/>
              <a:cs typeface="+mn-cs"/>
            </a:rPr>
            <a:t>(IAD) </a:t>
          </a:r>
          <a:endParaRPr lang="en-US" sz="1400">
            <a:latin typeface="+mn-lt"/>
            <a:ea typeface="+mn-ea"/>
            <a:cs typeface="+mn-cs"/>
          </a:endParaRPr>
        </a:p>
        <a:p xmlns:a="http://schemas.openxmlformats.org/drawingml/2006/main">
          <a:pPr algn="ctr"/>
          <a:r>
            <a:rPr lang="en-US" sz="1400" b="1" baseline="0">
              <a:latin typeface="+mn-lt"/>
              <a:ea typeface="+mn-ea"/>
              <a:cs typeface="+mn-cs"/>
            </a:rPr>
            <a:t>&amp; FIRST NATIONS SA</a:t>
          </a:r>
          <a:endParaRPr lang="en-US" sz="1400" b="1">
            <a:latin typeface="+mn-lt"/>
            <a:ea typeface="+mn-ea"/>
            <a:cs typeface="+mn-cs"/>
          </a:endParaRPr>
        </a:p>
        <a:p xmlns:a="http://schemas.openxmlformats.org/drawingml/2006/main">
          <a:pPr algn="ctr"/>
          <a:endParaRPr lang="en-CA" sz="1100"/>
        </a:p>
      </cdr:txBody>
    </cdr:sp>
  </cdr:relSizeAnchor>
  <cdr:relSizeAnchor xmlns:cdr="http://schemas.openxmlformats.org/drawingml/2006/chartDrawing">
    <cdr:from>
      <cdr:x>0.4496</cdr:x>
      <cdr:y>0.70515</cdr:y>
    </cdr:from>
    <cdr:to>
      <cdr:x>0.57984</cdr:x>
      <cdr:y>0.83307</cdr:y>
    </cdr:to>
    <cdr:sp macro="" textlink="">
      <cdr:nvSpPr>
        <cdr:cNvPr id="3" name="TextBox 2"/>
        <cdr:cNvSpPr txBox="1"/>
      </cdr:nvSpPr>
      <cdr:spPr>
        <a:xfrm xmlns:a="http://schemas.openxmlformats.org/drawingml/2006/main">
          <a:off x="3898376" y="4438454"/>
          <a:ext cx="1129253" cy="8052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CA" sz="1100" b="0" i="0" baseline="0">
            <a:latin typeface="+mn-lt"/>
            <a:ea typeface="+mn-ea"/>
            <a:cs typeface="+mn-cs"/>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en-CA" sz="1100" b="0" i="0" baseline="0">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0.72027</cdr:x>
      <cdr:y>0.66303</cdr:y>
    </cdr:from>
    <cdr:to>
      <cdr:x>0.93318</cdr:x>
      <cdr:y>0.88768</cdr:y>
    </cdr:to>
    <cdr:sp macro="" textlink="">
      <cdr:nvSpPr>
        <cdr:cNvPr id="4" name="TextBox 3"/>
        <cdr:cNvSpPr txBox="1"/>
      </cdr:nvSpPr>
      <cdr:spPr>
        <a:xfrm xmlns:a="http://schemas.openxmlformats.org/drawingml/2006/main">
          <a:off x="6245258" y="4173325"/>
          <a:ext cx="1846082" cy="1414020"/>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a:t>
          </a:r>
          <a:r>
            <a:rPr lang="en-US" sz="1400" b="1" baseline="0">
              <a:latin typeface="+mn-lt"/>
              <a:ea typeface="+mn-ea"/>
              <a:cs typeface="+mn-cs"/>
            </a:rPr>
            <a:t> INCOME SUPPORT FOR THE DISABLED </a:t>
          </a:r>
          <a:endParaRPr lang="en-US" sz="1400" b="1">
            <a:latin typeface="+mn-lt"/>
            <a:ea typeface="+mn-ea"/>
            <a:cs typeface="+mn-cs"/>
          </a:endParaRPr>
        </a:p>
        <a:p xmlns:a="http://schemas.openxmlformats.org/drawingml/2006/main">
          <a:pPr algn="ctr"/>
          <a:r>
            <a:rPr lang="en-US" sz="1400" b="1" baseline="0">
              <a:latin typeface="+mn-lt"/>
              <a:ea typeface="+mn-ea"/>
              <a:cs typeface="+mn-cs"/>
            </a:rPr>
            <a:t>EXCL. </a:t>
          </a:r>
          <a:endParaRPr lang="en-US" sz="1400" b="1">
            <a:latin typeface="+mn-lt"/>
            <a:ea typeface="+mn-ea"/>
            <a:cs typeface="+mn-cs"/>
          </a:endParaRPr>
        </a:p>
        <a:p xmlns:a="http://schemas.openxmlformats.org/drawingml/2006/main">
          <a:pPr algn="ctr"/>
          <a:r>
            <a:rPr lang="en-US" sz="1400" b="1" baseline="0">
              <a:latin typeface="+mn-lt"/>
              <a:ea typeface="+mn-ea"/>
              <a:cs typeface="+mn-cs"/>
            </a:rPr>
            <a:t>IAD &amp; FIRST NATIONS SA</a:t>
          </a:r>
          <a:endParaRPr lang="en-US" sz="14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0.42469</cdr:x>
      <cdr:y>0.67551</cdr:y>
    </cdr:from>
    <cdr:to>
      <cdr:x>0.60249</cdr:x>
      <cdr:y>0.79563</cdr:y>
    </cdr:to>
    <cdr:sp macro="" textlink="">
      <cdr:nvSpPr>
        <cdr:cNvPr id="5" name="TextBox 4"/>
        <cdr:cNvSpPr txBox="1"/>
      </cdr:nvSpPr>
      <cdr:spPr>
        <a:xfrm xmlns:a="http://schemas.openxmlformats.org/drawingml/2006/main">
          <a:off x="3682345" y="4251881"/>
          <a:ext cx="1541676" cy="756109"/>
        </a:xfrm>
        <a:prstGeom xmlns:a="http://schemas.openxmlformats.org/drawingml/2006/main" prst="rect">
          <a:avLst/>
        </a:prstGeom>
        <a:solidFill xmlns:a="http://schemas.openxmlformats.org/drawingml/2006/main">
          <a:schemeClr val="bg2"/>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a:t>
          </a:r>
          <a:r>
            <a:rPr lang="en-US" sz="1400" b="1" baseline="0">
              <a:latin typeface="+mn-lt"/>
              <a:ea typeface="+mn-ea"/>
              <a:cs typeface="+mn-cs"/>
            </a:rPr>
            <a:t> INCOME SUPPORT FOR THE DISABLED</a:t>
          </a:r>
          <a:endParaRPr lang="en-US" sz="1400" b="1">
            <a:latin typeface="+mn-lt"/>
            <a:ea typeface="+mn-ea"/>
            <a:cs typeface="+mn-cs"/>
          </a:endParaRPr>
        </a:p>
        <a:p xmlns:a="http://schemas.openxmlformats.org/drawingml/2006/main">
          <a:endParaRPr lang="en-CA" sz="1100"/>
        </a:p>
      </cdr:txBody>
    </cdr:sp>
  </cdr:relSizeAnchor>
  <cdr:relSizeAnchor xmlns:cdr="http://schemas.openxmlformats.org/drawingml/2006/chartDrawing">
    <cdr:from>
      <cdr:x>0.41563</cdr:x>
      <cdr:y>0.64743</cdr:y>
    </cdr:from>
    <cdr:to>
      <cdr:x>0.62627</cdr:x>
      <cdr:y>0.77067</cdr:y>
    </cdr:to>
    <cdr:sp macro="" textlink="">
      <cdr:nvSpPr>
        <cdr:cNvPr id="6" name="TextBox 5"/>
        <cdr:cNvSpPr txBox="1"/>
      </cdr:nvSpPr>
      <cdr:spPr>
        <a:xfrm xmlns:a="http://schemas.openxmlformats.org/drawingml/2006/main">
          <a:off x="3603789" y="4075129"/>
          <a:ext cx="1826443" cy="7757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endParaRPr lang="en-CA" sz="1100"/>
        </a:p>
      </cdr:txBody>
    </cdr:sp>
  </cdr:relSizeAnchor>
</c:userShapes>
</file>

<file path=xl/drawings/drawing85.xml><?xml version="1.0" encoding="utf-8"?>
<xdr:wsDr xmlns:xdr="http://schemas.openxmlformats.org/drawingml/2006/spreadsheetDrawing" xmlns:a="http://schemas.openxmlformats.org/drawingml/2006/main">
  <xdr:absoluteAnchor>
    <xdr:pos x="17972" y="-26958"/>
    <xdr:ext cx="8680330" cy="629908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0.09317</cdr:x>
      <cdr:y>0.22397</cdr:y>
    </cdr:from>
    <cdr:to>
      <cdr:x>0.23913</cdr:x>
      <cdr:y>0.25678</cdr:y>
    </cdr:to>
    <cdr:sp macro="" textlink="">
      <cdr:nvSpPr>
        <cdr:cNvPr id="2" name="TextBox 1"/>
        <cdr:cNvSpPr txBox="1"/>
      </cdr:nvSpPr>
      <cdr:spPr>
        <a:xfrm xmlns:a="http://schemas.openxmlformats.org/drawingml/2006/main">
          <a:off x="808726" y="1410779"/>
          <a:ext cx="1267005" cy="206674"/>
        </a:xfrm>
        <a:prstGeom xmlns:a="http://schemas.openxmlformats.org/drawingml/2006/main" prst="rect">
          <a:avLst/>
        </a:prstGeom>
        <a:solidFill xmlns:a="http://schemas.openxmlformats.org/drawingml/2006/main">
          <a:schemeClr val="accent1"/>
        </a:solidFill>
        <a:ln xmlns:a="http://schemas.openxmlformats.org/drawingml/2006/main">
          <a:solidFill>
            <a:schemeClr val="bg1"/>
          </a:solidFill>
        </a:ln>
      </cdr:spPr>
      <cdr:txBody>
        <a:bodyPr xmlns:a="http://schemas.openxmlformats.org/drawingml/2006/main" vertOverflow="clip" wrap="square" rtlCol="0"/>
        <a:lstStyle xmlns:a="http://schemas.openxmlformats.org/drawingml/2006/main"/>
        <a:p xmlns:a="http://schemas.openxmlformats.org/drawingml/2006/main">
          <a:r>
            <a:rPr lang="en-US" sz="1000" b="1" baseline="0">
              <a:solidFill>
                <a:schemeClr val="bg1"/>
              </a:solidFill>
            </a:rPr>
            <a:t>2005-06 to 2009-10</a:t>
          </a:r>
        </a:p>
      </cdr:txBody>
    </cdr:sp>
  </cdr:relSizeAnchor>
  <cdr:relSizeAnchor xmlns:cdr="http://schemas.openxmlformats.org/drawingml/2006/chartDrawing">
    <cdr:from>
      <cdr:x>0.0942</cdr:x>
      <cdr:y>0.26819</cdr:y>
    </cdr:from>
    <cdr:to>
      <cdr:x>0.23913</cdr:x>
      <cdr:y>0.301</cdr:y>
    </cdr:to>
    <cdr:sp macro="" textlink="">
      <cdr:nvSpPr>
        <cdr:cNvPr id="3" name="TextBox 2"/>
        <cdr:cNvSpPr txBox="1"/>
      </cdr:nvSpPr>
      <cdr:spPr>
        <a:xfrm xmlns:a="http://schemas.openxmlformats.org/drawingml/2006/main">
          <a:off x="817712" y="1689341"/>
          <a:ext cx="1258019" cy="206674"/>
        </a:xfrm>
        <a:prstGeom xmlns:a="http://schemas.openxmlformats.org/drawingml/2006/main" prst="rect">
          <a:avLst/>
        </a:prstGeom>
        <a:solidFill xmlns:a="http://schemas.openxmlformats.org/drawingml/2006/main">
          <a:schemeClr val="accent3"/>
        </a:solidFill>
      </cdr:spPr>
      <cdr:txBody>
        <a:bodyPr xmlns:a="http://schemas.openxmlformats.org/drawingml/2006/main" vertOverflow="clip" wrap="square" rtlCol="0"/>
        <a:lstStyle xmlns:a="http://schemas.openxmlformats.org/drawingml/2006/main"/>
        <a:p xmlns:a="http://schemas.openxmlformats.org/drawingml/2006/main">
          <a:r>
            <a:rPr lang="en-US" sz="1000" b="1"/>
            <a:t>2005-06 to 2010-11</a:t>
          </a:r>
        </a:p>
      </cdr:txBody>
    </cdr:sp>
  </cdr:relSizeAnchor>
</c:userShapes>
</file>

<file path=xl/drawings/drawing87.xml><?xml version="1.0" encoding="utf-8"?>
<xdr:wsDr xmlns:xdr="http://schemas.openxmlformats.org/drawingml/2006/spreadsheetDrawing" xmlns:a="http://schemas.openxmlformats.org/drawingml/2006/main">
  <xdr:absoluteAnchor>
    <xdr:pos x="0" y="0"/>
    <xdr:ext cx="8680330" cy="629908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8.xml><?xml version="1.0" encoding="utf-8"?>
<c:userShapes xmlns:c="http://schemas.openxmlformats.org/drawingml/2006/chart">
  <cdr:relSizeAnchor xmlns:cdr="http://schemas.openxmlformats.org/drawingml/2006/chartDrawing">
    <cdr:from>
      <cdr:x>0.08903</cdr:x>
      <cdr:y>0.59772</cdr:y>
    </cdr:from>
    <cdr:to>
      <cdr:x>0.30642</cdr:x>
      <cdr:y>0.76462</cdr:y>
    </cdr:to>
    <cdr:sp macro="" textlink="">
      <cdr:nvSpPr>
        <cdr:cNvPr id="2" name="TextBox 1"/>
        <cdr:cNvSpPr txBox="1"/>
      </cdr:nvSpPr>
      <cdr:spPr>
        <a:xfrm xmlns:a="http://schemas.openxmlformats.org/drawingml/2006/main">
          <a:off x="772783" y="3765071"/>
          <a:ext cx="1887028" cy="1051344"/>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INCOME ASSISTANCE</a:t>
          </a:r>
          <a:endParaRPr lang="en-US" sz="1400">
            <a:latin typeface="+mn-lt"/>
            <a:ea typeface="+mn-ea"/>
            <a:cs typeface="+mn-cs"/>
          </a:endParaRPr>
        </a:p>
        <a:p xmlns:a="http://schemas.openxmlformats.org/drawingml/2006/main">
          <a:pPr algn="ctr"/>
          <a:r>
            <a:rPr lang="en-US" sz="1400" b="1" baseline="0">
              <a:latin typeface="+mn-lt"/>
              <a:ea typeface="+mn-ea"/>
              <a:cs typeface="+mn-cs"/>
            </a:rPr>
            <a:t> FOR THE DISABLED</a:t>
          </a:r>
          <a:endParaRPr lang="en-US" sz="1400">
            <a:latin typeface="+mn-lt"/>
            <a:ea typeface="+mn-ea"/>
            <a:cs typeface="+mn-cs"/>
          </a:endParaRPr>
        </a:p>
        <a:p xmlns:a="http://schemas.openxmlformats.org/drawingml/2006/main">
          <a:pPr algn="ctr"/>
          <a:r>
            <a:rPr lang="en-US" sz="1400" b="1" baseline="0">
              <a:latin typeface="+mn-lt"/>
              <a:ea typeface="+mn-ea"/>
              <a:cs typeface="+mn-cs"/>
            </a:rPr>
            <a:t>(IAD) </a:t>
          </a:r>
          <a:endParaRPr lang="en-US" sz="1400">
            <a:latin typeface="+mn-lt"/>
            <a:ea typeface="+mn-ea"/>
            <a:cs typeface="+mn-cs"/>
          </a:endParaRPr>
        </a:p>
        <a:p xmlns:a="http://schemas.openxmlformats.org/drawingml/2006/main">
          <a:pPr algn="ctr"/>
          <a:r>
            <a:rPr lang="en-US" sz="1400" b="1" baseline="0">
              <a:latin typeface="+mn-lt"/>
              <a:ea typeface="+mn-ea"/>
              <a:cs typeface="+mn-cs"/>
            </a:rPr>
            <a:t>&amp; FIRST NATIONS SA</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0.39648</cdr:x>
      <cdr:y>0.64622</cdr:y>
    </cdr:from>
    <cdr:to>
      <cdr:x>0.61905</cdr:x>
      <cdr:y>0.77461</cdr:y>
    </cdr:to>
    <cdr:sp macro="" textlink="">
      <cdr:nvSpPr>
        <cdr:cNvPr id="3" name="TextBox 2"/>
        <cdr:cNvSpPr txBox="1"/>
      </cdr:nvSpPr>
      <cdr:spPr>
        <a:xfrm xmlns:a="http://schemas.openxmlformats.org/drawingml/2006/main">
          <a:off x="3441580" y="4070591"/>
          <a:ext cx="1931958" cy="808726"/>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a:t>
          </a:r>
          <a:r>
            <a:rPr lang="en-US" sz="1400" b="1" baseline="0">
              <a:latin typeface="+mn-lt"/>
              <a:ea typeface="+mn-ea"/>
              <a:cs typeface="+mn-cs"/>
            </a:rPr>
            <a:t> INCOME SUPPORT FOR THE DISABLED</a:t>
          </a:r>
          <a:endParaRPr lang="en-US" sz="1400" b="1">
            <a:latin typeface="+mn-lt"/>
            <a:ea typeface="+mn-ea"/>
            <a:cs typeface="+mn-cs"/>
          </a:endParaRPr>
        </a:p>
        <a:p xmlns:a="http://schemas.openxmlformats.org/drawingml/2006/main">
          <a:endParaRPr lang="en-US" sz="1100"/>
        </a:p>
      </cdr:txBody>
    </cdr:sp>
  </cdr:relSizeAnchor>
  <cdr:relSizeAnchor xmlns:cdr="http://schemas.openxmlformats.org/drawingml/2006/chartDrawing">
    <cdr:from>
      <cdr:x>0.71325</cdr:x>
      <cdr:y>0.64907</cdr:y>
    </cdr:from>
    <cdr:to>
      <cdr:x>0.92547</cdr:x>
      <cdr:y>0.87454</cdr:y>
    </cdr:to>
    <cdr:sp macro="" textlink="">
      <cdr:nvSpPr>
        <cdr:cNvPr id="4" name="TextBox 3"/>
        <cdr:cNvSpPr txBox="1"/>
      </cdr:nvSpPr>
      <cdr:spPr>
        <a:xfrm xmlns:a="http://schemas.openxmlformats.org/drawingml/2006/main">
          <a:off x="6191245" y="4088543"/>
          <a:ext cx="1842140" cy="1420245"/>
        </a:xfrm>
        <a:prstGeom xmlns:a="http://schemas.openxmlformats.org/drawingml/2006/main" prst="rect">
          <a:avLst/>
        </a:prstGeom>
        <a:solidFill xmlns:a="http://schemas.openxmlformats.org/drawingml/2006/main">
          <a:schemeClr val="bg2">
            <a:lumMod val="90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a:t>
          </a:r>
          <a:r>
            <a:rPr lang="en-US" sz="1400" b="1" baseline="0">
              <a:latin typeface="+mn-lt"/>
              <a:ea typeface="+mn-ea"/>
              <a:cs typeface="+mn-cs"/>
            </a:rPr>
            <a:t> INCOME SUPPORT FOR THE DISABLED </a:t>
          </a:r>
          <a:endParaRPr lang="en-US" sz="1400">
            <a:latin typeface="+mn-lt"/>
            <a:ea typeface="+mn-ea"/>
            <a:cs typeface="+mn-cs"/>
          </a:endParaRPr>
        </a:p>
        <a:p xmlns:a="http://schemas.openxmlformats.org/drawingml/2006/main">
          <a:pPr algn="ctr"/>
          <a:r>
            <a:rPr lang="en-US" sz="1400" b="1" baseline="0">
              <a:latin typeface="+mn-lt"/>
              <a:ea typeface="+mn-ea"/>
              <a:cs typeface="+mn-cs"/>
            </a:rPr>
            <a:t>EXCL. </a:t>
          </a:r>
          <a:endParaRPr lang="en-US" sz="1400">
            <a:latin typeface="+mn-lt"/>
            <a:ea typeface="+mn-ea"/>
            <a:cs typeface="+mn-cs"/>
          </a:endParaRPr>
        </a:p>
        <a:p xmlns:a="http://schemas.openxmlformats.org/drawingml/2006/main">
          <a:pPr algn="ctr"/>
          <a:r>
            <a:rPr lang="en-US" sz="1400" b="1" baseline="0">
              <a:latin typeface="+mn-lt"/>
              <a:ea typeface="+mn-ea"/>
              <a:cs typeface="+mn-cs"/>
            </a:rPr>
            <a:t>IAD &amp; FIRST NATIONS SA</a:t>
          </a:r>
          <a:endParaRPr lang="en-US" sz="1400" b="1">
            <a:latin typeface="+mn-lt"/>
            <a:ea typeface="+mn-ea"/>
            <a:cs typeface="+mn-cs"/>
          </a:endParaRPr>
        </a:p>
        <a:p xmlns:a="http://schemas.openxmlformats.org/drawingml/2006/main">
          <a:endParaRPr lang="en-US" sz="1100"/>
        </a:p>
      </cdr:txBody>
    </cdr:sp>
  </cdr:relSizeAnchor>
</c:userShapes>
</file>

<file path=xl/drawings/drawing89.xml><?xml version="1.0" encoding="utf-8"?>
<xdr:wsDr xmlns:xdr="http://schemas.openxmlformats.org/drawingml/2006/spreadsheetDrawing" xmlns:a="http://schemas.openxmlformats.org/drawingml/2006/main">
  <xdr:absoluteAnchor>
    <xdr:pos x="26216" y="-26216"/>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0.01813</cdr:x>
      <cdr:y>0.85298</cdr:y>
    </cdr:from>
    <cdr:to>
      <cdr:x>0.25881</cdr:x>
      <cdr:y>0.97226</cdr:y>
    </cdr:to>
    <cdr:sp macro="" textlink="">
      <cdr:nvSpPr>
        <cdr:cNvPr id="2" name="TextBox 1"/>
        <cdr:cNvSpPr txBox="1"/>
      </cdr:nvSpPr>
      <cdr:spPr>
        <a:xfrm xmlns:a="http://schemas.openxmlformats.org/drawingml/2006/main">
          <a:off x="157321" y="5374198"/>
          <a:ext cx="2088467" cy="751509"/>
        </a:xfrm>
        <a:prstGeom xmlns:a="http://schemas.openxmlformats.org/drawingml/2006/main" prst="rect">
          <a:avLst/>
        </a:prstGeom>
        <a:solidFill xmlns:a="http://schemas.openxmlformats.org/drawingml/2006/main">
          <a:srgbClr val="FFC000"/>
        </a:solidFill>
        <a:ln xmlns:a="http://schemas.openxmlformats.org/drawingml/2006/main">
          <a:solidFill>
            <a:schemeClr val="accent1"/>
          </a:solidFill>
        </a:ln>
      </cdr:spPr>
      <cdr:txBody>
        <a:bodyPr xmlns:a="http://schemas.openxmlformats.org/drawingml/2006/main" vertOverflow="clip" wrap="square" rtlCol="0"/>
        <a:lstStyle xmlns:a="http://schemas.openxmlformats.org/drawingml/2006/main"/>
        <a:p xmlns:a="http://schemas.openxmlformats.org/drawingml/2006/main">
          <a:r>
            <a:rPr lang="en-US" sz="1000" b="1" i="1"/>
            <a:t>Oct. 2012</a:t>
          </a:r>
        </a:p>
        <a:p xmlns:a="http://schemas.openxmlformats.org/drawingml/2006/main">
          <a:r>
            <a:rPr lang="en-US" sz="950" i="1"/>
            <a:t>SA </a:t>
          </a:r>
          <a:r>
            <a:rPr lang="en-US" sz="950" i="1" baseline="0"/>
            <a:t> - Disabled component </a:t>
          </a:r>
          <a:r>
            <a:rPr lang="en-US" sz="950" i="1"/>
            <a:t>revised</a:t>
          </a:r>
          <a:r>
            <a:rPr lang="en-US" sz="950" i="1" baseline="0"/>
            <a:t>  (SA includes First Nations SA and AISH)</a:t>
          </a:r>
        </a:p>
        <a:p xmlns:a="http://schemas.openxmlformats.org/drawingml/2006/main">
          <a:r>
            <a:rPr lang="en-US" sz="950" i="1" baseline="0"/>
            <a:t>Total revised</a:t>
          </a:r>
          <a:endParaRPr lang="en-US" sz="950" i="1"/>
        </a:p>
      </cdr:txBody>
    </cdr:sp>
  </cdr:relSizeAnchor>
</c:userShapes>
</file>

<file path=xl/drawings/drawing90.xml><?xml version="1.0" encoding="utf-8"?>
<c:userShapes xmlns:c="http://schemas.openxmlformats.org/drawingml/2006/chart">
  <cdr:relSizeAnchor xmlns:cdr="http://schemas.openxmlformats.org/drawingml/2006/chartDrawing">
    <cdr:from>
      <cdr:x>0.13391</cdr:x>
      <cdr:y>0.42185</cdr:y>
    </cdr:from>
    <cdr:to>
      <cdr:x>0.31723</cdr:x>
      <cdr:y>0.75694</cdr:y>
    </cdr:to>
    <cdr:sp macro="" textlink="">
      <cdr:nvSpPr>
        <cdr:cNvPr id="2" name="TextBox 1"/>
        <cdr:cNvSpPr txBox="1"/>
      </cdr:nvSpPr>
      <cdr:spPr>
        <a:xfrm xmlns:a="http://schemas.openxmlformats.org/drawingml/2006/main">
          <a:off x="1161953" y="2657864"/>
          <a:ext cx="1590773" cy="2111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INCOME ASSISTANCE</a:t>
          </a:r>
          <a:endParaRPr lang="en-US" sz="1400"/>
        </a:p>
        <a:p xmlns:a="http://schemas.openxmlformats.org/drawingml/2006/main">
          <a:pPr algn="ctr"/>
          <a:r>
            <a:rPr lang="en-US" sz="1400" b="1" baseline="0">
              <a:latin typeface="+mn-lt"/>
              <a:ea typeface="+mn-ea"/>
              <a:cs typeface="+mn-cs"/>
            </a:rPr>
            <a:t> FOR PERSONS WITH DISABILITIES</a:t>
          </a:r>
          <a:r>
            <a:rPr lang="en-US" sz="1400" b="0" baseline="0">
              <a:latin typeface="+mn-lt"/>
              <a:ea typeface="+mn-ea"/>
              <a:cs typeface="+mn-cs"/>
            </a:rPr>
            <a:t> </a:t>
          </a:r>
          <a:r>
            <a:rPr lang="en-US" sz="1400" b="1" baseline="0">
              <a:latin typeface="+mn-lt"/>
              <a:ea typeface="+mn-ea"/>
              <a:cs typeface="+mn-cs"/>
            </a:rPr>
            <a:t>(IAD)</a:t>
          </a:r>
          <a:endParaRPr lang="en-US" sz="1400" b="1"/>
        </a:p>
        <a:p xmlns:a="http://schemas.openxmlformats.org/drawingml/2006/main">
          <a:pPr algn="ctr"/>
          <a:r>
            <a:rPr lang="en-US" sz="1400" b="1" baseline="0">
              <a:latin typeface="+mn-lt"/>
              <a:ea typeface="+mn-ea"/>
              <a:cs typeface="+mn-cs"/>
            </a:rPr>
            <a:t>&amp; FIRST </a:t>
          </a:r>
        </a:p>
        <a:p xmlns:a="http://schemas.openxmlformats.org/drawingml/2006/main">
          <a:pPr algn="ctr"/>
          <a:r>
            <a:rPr lang="en-US" sz="1400" b="1" baseline="0">
              <a:latin typeface="+mn-lt"/>
              <a:ea typeface="+mn-ea"/>
              <a:cs typeface="+mn-cs"/>
            </a:rPr>
            <a:t>NATIONS SA</a:t>
          </a:r>
          <a:endParaRPr lang="en-US" sz="1400" b="1">
            <a:latin typeface="+mn-lt"/>
            <a:ea typeface="+mn-ea"/>
            <a:cs typeface="+mn-cs"/>
          </a:endParaRPr>
        </a:p>
      </cdr:txBody>
    </cdr:sp>
  </cdr:relSizeAnchor>
  <cdr:relSizeAnchor xmlns:cdr="http://schemas.openxmlformats.org/drawingml/2006/chartDrawing">
    <cdr:from>
      <cdr:x>0.43303</cdr:x>
      <cdr:y>0.59329</cdr:y>
    </cdr:from>
    <cdr:to>
      <cdr:x>0.6273</cdr:x>
      <cdr:y>0.79123</cdr:y>
    </cdr:to>
    <cdr:sp macro="" textlink="">
      <cdr:nvSpPr>
        <cdr:cNvPr id="3" name="TextBox 2"/>
        <cdr:cNvSpPr txBox="1"/>
      </cdr:nvSpPr>
      <cdr:spPr>
        <a:xfrm xmlns:a="http://schemas.openxmlformats.org/drawingml/2006/main">
          <a:off x="3757558" y="3738020"/>
          <a:ext cx="1685736" cy="12470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sz="1400" b="1">
              <a:latin typeface="+mn-lt"/>
              <a:ea typeface="+mn-ea"/>
              <a:cs typeface="+mn-cs"/>
            </a:rPr>
            <a:t>TOTAL</a:t>
          </a:r>
          <a:r>
            <a:rPr lang="en-US" sz="1400" b="1" baseline="0">
              <a:latin typeface="+mn-lt"/>
              <a:ea typeface="+mn-ea"/>
              <a:cs typeface="+mn-cs"/>
            </a:rPr>
            <a:t> INCOME SUPPORT FOR PERSONS WITH DISABILITIES</a:t>
          </a:r>
          <a:endParaRPr lang="en-US" sz="1100"/>
        </a:p>
      </cdr:txBody>
    </cdr:sp>
  </cdr:relSizeAnchor>
  <cdr:relSizeAnchor xmlns:cdr="http://schemas.openxmlformats.org/drawingml/2006/chartDrawing">
    <cdr:from>
      <cdr:x>0.75291</cdr:x>
      <cdr:y>0.5855</cdr:y>
    </cdr:from>
    <cdr:to>
      <cdr:x>0.93058</cdr:x>
      <cdr:y>0.8598</cdr:y>
    </cdr:to>
    <cdr:sp macro="" textlink="">
      <cdr:nvSpPr>
        <cdr:cNvPr id="4" name="TextBox 3"/>
        <cdr:cNvSpPr txBox="1"/>
      </cdr:nvSpPr>
      <cdr:spPr>
        <a:xfrm xmlns:a="http://schemas.openxmlformats.org/drawingml/2006/main">
          <a:off x="6533268" y="3688922"/>
          <a:ext cx="1541675" cy="1728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latin typeface="+mn-lt"/>
              <a:ea typeface="+mn-ea"/>
              <a:cs typeface="+mn-cs"/>
            </a:rPr>
            <a:t>TOTAL</a:t>
          </a:r>
          <a:r>
            <a:rPr lang="en-US" sz="1400" b="1" baseline="0">
              <a:latin typeface="+mn-lt"/>
              <a:ea typeface="+mn-ea"/>
              <a:cs typeface="+mn-cs"/>
            </a:rPr>
            <a:t> INCOME SUPPORT FOR PERSONS WITH DISABILITIES </a:t>
          </a:r>
          <a:endParaRPr lang="en-US" sz="1400"/>
        </a:p>
        <a:p xmlns:a="http://schemas.openxmlformats.org/drawingml/2006/main">
          <a:pPr algn="ctr"/>
          <a:r>
            <a:rPr lang="en-US" sz="1400" b="1" baseline="0">
              <a:latin typeface="+mn-lt"/>
              <a:ea typeface="+mn-ea"/>
              <a:cs typeface="+mn-cs"/>
            </a:rPr>
            <a:t>EXCL. </a:t>
          </a:r>
          <a:endParaRPr lang="en-US" sz="1400"/>
        </a:p>
        <a:p xmlns:a="http://schemas.openxmlformats.org/drawingml/2006/main">
          <a:pPr algn="ctr"/>
          <a:r>
            <a:rPr lang="en-US" sz="1400" b="1" baseline="0">
              <a:latin typeface="+mn-lt"/>
              <a:ea typeface="+mn-ea"/>
              <a:cs typeface="+mn-cs"/>
            </a:rPr>
            <a:t>IAD &amp; FIRST NATIONS SA</a:t>
          </a:r>
          <a:endParaRPr lang="en-US" sz="1400" b="1">
            <a:latin typeface="+mn-lt"/>
            <a:ea typeface="+mn-ea"/>
            <a:cs typeface="+mn-cs"/>
          </a:endParaRPr>
        </a:p>
        <a:p xmlns:a="http://schemas.openxmlformats.org/drawingml/2006/main">
          <a:endParaRPr lang="en-US" sz="1100"/>
        </a:p>
      </cdr:txBody>
    </cdr:sp>
  </cdr:relSizeAnchor>
</c:userShapes>
</file>

<file path=xl/drawings/drawing91.xml><?xml version="1.0" encoding="utf-8"?>
<xdr:wsDr xmlns:xdr="http://schemas.openxmlformats.org/drawingml/2006/spreadsheetDrawing" xmlns:a="http://schemas.openxmlformats.org/drawingml/2006/main">
  <xdr:absoluteAnchor>
    <xdr:pos x="0"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2.xml><?xml version="1.0" encoding="utf-8"?>
<c:userShapes xmlns:c="http://schemas.openxmlformats.org/drawingml/2006/chart">
  <cdr:relSizeAnchor xmlns:cdr="http://schemas.openxmlformats.org/drawingml/2006/chartDrawing">
    <cdr:from>
      <cdr:x>0.11984</cdr:x>
      <cdr:y>0.49515</cdr:y>
    </cdr:from>
    <cdr:to>
      <cdr:x>0.30111</cdr:x>
      <cdr:y>0.67545</cdr:y>
    </cdr:to>
    <cdr:sp macro="" textlink="">
      <cdr:nvSpPr>
        <cdr:cNvPr id="2" name="TextBox 1"/>
        <cdr:cNvSpPr txBox="1"/>
      </cdr:nvSpPr>
      <cdr:spPr>
        <a:xfrm xmlns:a="http://schemas.openxmlformats.org/drawingml/2006/main">
          <a:off x="1039895" y="3119684"/>
          <a:ext cx="1572945" cy="11359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US" sz="1400" b="1"/>
            <a:t>INCOME ASSISTANCE</a:t>
          </a:r>
        </a:p>
        <a:p xmlns:a="http://schemas.openxmlformats.org/drawingml/2006/main">
          <a:pPr algn="ctr"/>
          <a:r>
            <a:rPr lang="en-US" sz="1400" b="1" baseline="0"/>
            <a:t> FOR THE DISABLED</a:t>
          </a:r>
        </a:p>
        <a:p xmlns:a="http://schemas.openxmlformats.org/drawingml/2006/main">
          <a:pPr algn="ctr"/>
          <a:r>
            <a:rPr lang="en-US" sz="1400" b="1" baseline="0"/>
            <a:t>(IAD) </a:t>
          </a:r>
        </a:p>
        <a:p xmlns:a="http://schemas.openxmlformats.org/drawingml/2006/main">
          <a:pPr algn="ctr"/>
          <a:r>
            <a:rPr lang="en-US" sz="1400" b="1" baseline="0"/>
            <a:t>&amp; FIRST NATIONS SA</a:t>
          </a:r>
          <a:endParaRPr lang="en-US" sz="1400" b="1"/>
        </a:p>
      </cdr:txBody>
    </cdr:sp>
  </cdr:relSizeAnchor>
  <cdr:relSizeAnchor xmlns:cdr="http://schemas.openxmlformats.org/drawingml/2006/chartDrawing">
    <cdr:from>
      <cdr:x>0.42699</cdr:x>
      <cdr:y>0.6061</cdr:y>
    </cdr:from>
    <cdr:to>
      <cdr:x>0.61329</cdr:x>
      <cdr:y>0.81415</cdr:y>
    </cdr:to>
    <cdr:sp macro="" textlink="">
      <cdr:nvSpPr>
        <cdr:cNvPr id="3" name="TextBox 2"/>
        <cdr:cNvSpPr txBox="1"/>
      </cdr:nvSpPr>
      <cdr:spPr>
        <a:xfrm xmlns:a="http://schemas.openxmlformats.org/drawingml/2006/main">
          <a:off x="3705147" y="3818739"/>
          <a:ext cx="1616592" cy="13107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a:t>
          </a:r>
          <a:r>
            <a:rPr lang="en-US" sz="1400" b="1" baseline="0"/>
            <a:t> INCOME SUPPORT FOR THE DISABLED</a:t>
          </a:r>
          <a:endParaRPr lang="en-US" sz="1400" b="1"/>
        </a:p>
      </cdr:txBody>
    </cdr:sp>
  </cdr:relSizeAnchor>
  <cdr:relSizeAnchor xmlns:cdr="http://schemas.openxmlformats.org/drawingml/2006/chartDrawing">
    <cdr:from>
      <cdr:x>0.73212</cdr:x>
      <cdr:y>0.62968</cdr:y>
    </cdr:from>
    <cdr:to>
      <cdr:x>0.92548</cdr:x>
      <cdr:y>0.95146</cdr:y>
    </cdr:to>
    <cdr:sp macro="" textlink="">
      <cdr:nvSpPr>
        <cdr:cNvPr id="4" name="TextBox 3"/>
        <cdr:cNvSpPr txBox="1"/>
      </cdr:nvSpPr>
      <cdr:spPr>
        <a:xfrm xmlns:a="http://schemas.openxmlformats.org/drawingml/2006/main">
          <a:off x="6352870" y="3967294"/>
          <a:ext cx="1677855" cy="20273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TOTAL</a:t>
          </a:r>
          <a:r>
            <a:rPr lang="en-US" sz="1400" b="1" baseline="0"/>
            <a:t> INCOME SUPPORT FOR THE DISABLED </a:t>
          </a:r>
        </a:p>
        <a:p xmlns:a="http://schemas.openxmlformats.org/drawingml/2006/main">
          <a:pPr algn="ctr"/>
          <a:r>
            <a:rPr lang="en-US" sz="1400" b="1" baseline="0"/>
            <a:t>EXCL. </a:t>
          </a:r>
        </a:p>
        <a:p xmlns:a="http://schemas.openxmlformats.org/drawingml/2006/main">
          <a:pPr algn="ctr"/>
          <a:r>
            <a:rPr lang="en-US" sz="1400" b="1" baseline="0"/>
            <a:t>IAD &amp; FIRST NATIONS SA</a:t>
          </a:r>
          <a:endParaRPr lang="en-US" sz="1400" b="1"/>
        </a:p>
      </cdr:txBody>
    </cdr:sp>
  </cdr:relSizeAnchor>
</c:userShapes>
</file>

<file path=xl/drawings/drawing93.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4.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5.xml><?xml version="1.0" encoding="utf-8"?>
<xdr:wsDr xmlns:xdr="http://schemas.openxmlformats.org/drawingml/2006/spreadsheetDrawing" xmlns:a="http://schemas.openxmlformats.org/drawingml/2006/main">
  <xdr:absoluteAnchor>
    <xdr:pos x="19639"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xdr:wsDr xmlns:xdr="http://schemas.openxmlformats.org/drawingml/2006/spreadsheetDrawing" xmlns:a="http://schemas.openxmlformats.org/drawingml/2006/main">
  <xdr:absoluteAnchor>
    <xdr:pos x="26216" y="0"/>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7.xml><?xml version="1.0" encoding="utf-8"?>
<xdr:wsDr xmlns:xdr="http://schemas.openxmlformats.org/drawingml/2006/spreadsheetDrawing" xmlns:a="http://schemas.openxmlformats.org/drawingml/2006/main">
  <xdr:absoluteAnchor>
    <xdr:pos x="12973" y="23332"/>
    <xdr:ext cx="8677362" cy="630048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8.xml><?xml version="1.0" encoding="utf-8"?>
<c:userShapes xmlns:c="http://schemas.openxmlformats.org/drawingml/2006/chart">
  <cdr:relSizeAnchor xmlns:cdr="http://schemas.openxmlformats.org/drawingml/2006/chartDrawing">
    <cdr:from>
      <cdr:x>0.05136</cdr:x>
      <cdr:y>0.83745</cdr:y>
    </cdr:from>
    <cdr:to>
      <cdr:x>0.20846</cdr:x>
      <cdr:y>0.95324</cdr:y>
    </cdr:to>
    <cdr:sp macro="" textlink="">
      <cdr:nvSpPr>
        <cdr:cNvPr id="2" name="TextBox 1"/>
        <cdr:cNvSpPr txBox="1"/>
      </cdr:nvSpPr>
      <cdr:spPr>
        <a:xfrm xmlns:a="http://schemas.openxmlformats.org/drawingml/2006/main">
          <a:off x="445669" y="5276339"/>
          <a:ext cx="1363214" cy="729556"/>
        </a:xfrm>
        <a:prstGeom xmlns:a="http://schemas.openxmlformats.org/drawingml/2006/main" prst="rect">
          <a:avLst/>
        </a:prstGeom>
        <a:solidFill xmlns:a="http://schemas.openxmlformats.org/drawingml/2006/main">
          <a:srgbClr val="FFC000"/>
        </a:solidFill>
      </cdr:spPr>
      <cdr:txBody>
        <a:bodyPr xmlns:a="http://schemas.openxmlformats.org/drawingml/2006/main" vertOverflow="clip" wrap="square" rtlCol="0"/>
        <a:lstStyle xmlns:a="http://schemas.openxmlformats.org/drawingml/2006/main"/>
        <a:p xmlns:a="http://schemas.openxmlformats.org/drawingml/2006/main">
          <a:pPr algn="l"/>
          <a:r>
            <a:rPr lang="en-US" sz="950" b="1" i="1">
              <a:latin typeface="+mn-lt"/>
              <a:ea typeface="+mn-ea"/>
              <a:cs typeface="+mn-cs"/>
            </a:rPr>
            <a:t>Oct. 2012</a:t>
          </a:r>
        </a:p>
        <a:p xmlns:a="http://schemas.openxmlformats.org/drawingml/2006/main">
          <a:pPr algn="l"/>
          <a:r>
            <a:rPr lang="en-US" sz="950" b="0" i="1">
              <a:latin typeface="+mn-lt"/>
              <a:ea typeface="+mn-ea"/>
              <a:cs typeface="+mn-cs"/>
            </a:rPr>
            <a:t>FN SA revised</a:t>
          </a:r>
        </a:p>
        <a:p xmlns:a="http://schemas.openxmlformats.org/drawingml/2006/main">
          <a:pPr algn="l"/>
          <a:r>
            <a:rPr lang="en-US" sz="950" b="0" i="1">
              <a:latin typeface="+mn-lt"/>
              <a:ea typeface="+mn-ea"/>
              <a:cs typeface="+mn-cs"/>
            </a:rPr>
            <a:t>Disability Tax Measures revised</a:t>
          </a:r>
        </a:p>
        <a:p xmlns:a="http://schemas.openxmlformats.org/drawingml/2006/main">
          <a:pPr algn="l"/>
          <a:endParaRPr lang="en-US" sz="950" b="0" i="1">
            <a:latin typeface="+mn-lt"/>
            <a:ea typeface="+mn-ea"/>
            <a:cs typeface="+mn-cs"/>
          </a:endParaRPr>
        </a:p>
        <a:p xmlns:a="http://schemas.openxmlformats.org/drawingml/2006/main">
          <a:pPr algn="l"/>
          <a:endParaRPr lang="en-US" sz="1100" b="0"/>
        </a:p>
      </cdr:txBody>
    </cdr:sp>
  </cdr:relSizeAnchor>
</c:userShapes>
</file>

<file path=xl/drawings/drawing99.xml><?xml version="1.0" encoding="utf-8"?>
<xdr:wsDr xmlns:xdr="http://schemas.openxmlformats.org/drawingml/2006/spreadsheetDrawing" xmlns:a="http://schemas.openxmlformats.org/drawingml/2006/main">
  <xdr:absoluteAnchor>
    <xdr:pos x="0" y="0"/>
    <xdr:ext cx="8670696" cy="629435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www.awcbc.org/en/statistics.asp" TargetMode="External"/><Relationship Id="rId1" Type="http://schemas.openxmlformats.org/officeDocument/2006/relationships/hyperlink" Target="http://www.hrsdc.gc.ca/eng/employment/ei/reports/eimar_2011/annex/annex3_1.shtml"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hrsdc.gc.ca/eng/employment/ei/reports/eimar_2011/annex/annex3_1.shtml"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awcbc.org/en/statistics.asp" TargetMode="External"/><Relationship Id="rId1" Type="http://schemas.openxmlformats.org/officeDocument/2006/relationships/hyperlink" Target="http://www.hrsdc.gc.ca/eng/employment/ei/reports/eimar_2011/annex/annex3_1.shtml"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hrsdc.gc.ca/eng/disability_issues/reports/fdr/2011/fdr_2011.pdf"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1.bin"/><Relationship Id="rId1" Type="http://schemas.openxmlformats.org/officeDocument/2006/relationships/hyperlink" Target="http://www.hrsdc.gc.ca/eng/employment/ei/reports/eimar_2010/annex/annex2_11.shtml" TargetMode="External"/><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fin.gc.ca/taxexp-depfisc/2011/taxexp1101-eng.as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3.bin"/><Relationship Id="rId1" Type="http://schemas.openxmlformats.org/officeDocument/2006/relationships/hyperlink" Target="http://www.fin.gc.ca/taxexp-depfisc/2011/taxexp1101-eng.asp" TargetMode="External"/><Relationship Id="rId4"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8" Type="http://schemas.openxmlformats.org/officeDocument/2006/relationships/hyperlink" Target="http://www.finance.gov.sk.ca/paccts/paccts14/compendium/reports/2013-14Volume2.pdf" TargetMode="External"/><Relationship Id="rId13" Type="http://schemas.openxmlformats.org/officeDocument/2006/relationships/hyperlink" Target="http://www.gov.nu.ca/sites/default/files/main_estimates_2015-2016_-_english_-_for_web.pdf" TargetMode="External"/><Relationship Id="rId3" Type="http://schemas.openxmlformats.org/officeDocument/2006/relationships/hyperlink" Target="http://www.gov.pe.ca/photos/original/femapa2014vol2.pdf" TargetMode="External"/><Relationship Id="rId7" Type="http://schemas.openxmlformats.org/officeDocument/2006/relationships/hyperlink" Target="http://www.fin.gov.nt.ca/sites/default/files/documents/2015-2016mainestimates.pdf" TargetMode="External"/><Relationship Id="rId12" Type="http://schemas.openxmlformats.org/officeDocument/2006/relationships/hyperlink" Target="http://www.fin.gov.on.ca/en/budget/paccts/2014/14vol1eng.pdf" TargetMode="External"/><Relationship Id="rId2" Type="http://schemas.openxmlformats.org/officeDocument/2006/relationships/hyperlink" Target="http://www.fin.gov.nl.ca/fin/publications/2013-14_Report_on_Program_Expenditures_&amp;_Revenues_of_the_CRF.pdf" TargetMode="External"/><Relationship Id="rId1" Type="http://schemas.openxmlformats.org/officeDocument/2006/relationships/hyperlink" Target="http://www.mess.gouv.qc.ca/statistiques/prestataires-assistance-emploi/archives_en.asp" TargetMode="External"/><Relationship Id="rId6" Type="http://schemas.openxmlformats.org/officeDocument/2006/relationships/hyperlink" Target="http://www.finance.gov.yk.ca/pdf/budget/2015-16Budget_15.pdf" TargetMode="External"/><Relationship Id="rId11" Type="http://schemas.openxmlformats.org/officeDocument/2006/relationships/hyperlink" Target="http://www.fin.gov.on.ca/en/budget/paccts/2014/14vol1eng.pdf" TargetMode="External"/><Relationship Id="rId5" Type="http://schemas.openxmlformats.org/officeDocument/2006/relationships/hyperlink" Target="http://finance.alberta.ca/publications/budget/estimates/est2015/human-services.pdf" TargetMode="External"/><Relationship Id="rId10" Type="http://schemas.openxmlformats.org/officeDocument/2006/relationships/hyperlink" Target="http://www.finances.gouv.qc.ca/documents/Comptespublics/en/CPTEN_vol2-2013-2014.pdf" TargetMode="External"/><Relationship Id="rId4" Type="http://schemas.openxmlformats.org/officeDocument/2006/relationships/hyperlink" Target="http://www.finance.gov.sk.ca/paccts/paccts14/compendium/reports/2013-14Volume2.pdf" TargetMode="External"/><Relationship Id="rId9" Type="http://schemas.openxmlformats.org/officeDocument/2006/relationships/hyperlink" Target="http://www.gov.mb.ca/jec/pdfs/13_14_jec_ar.pdf" TargetMode="External"/><Relationship Id="rId14" Type="http://schemas.openxmlformats.org/officeDocument/2006/relationships/printerSettings" Target="../printerSettings/printerSettings34.bin"/></Relationships>
</file>

<file path=xl/worksheets/_rels/sheet22.xml.rels><?xml version="1.0" encoding="UTF-8" standalone="yes"?>
<Relationships xmlns="http://schemas.openxmlformats.org/package/2006/relationships"><Relationship Id="rId8" Type="http://schemas.openxmlformats.org/officeDocument/2006/relationships/hyperlink" Target="http://www.fin.gov.bc.ca/ocg/pa/12_13/CRF%20Supplementary%20Schedules%2012-13.pdf" TargetMode="External"/><Relationship Id="rId13" Type="http://schemas.openxmlformats.org/officeDocument/2006/relationships/hyperlink" Target="http://www.fin.gov.on.ca/en/budget/paccts/2013/13vol1eng.pdf" TargetMode="External"/><Relationship Id="rId3" Type="http://schemas.openxmlformats.org/officeDocument/2006/relationships/hyperlink" Target="http://www2.gnb.ca/content/dam/gnb/Departments/fin/pdf/OC/PA13V2.pdf" TargetMode="External"/><Relationship Id="rId7" Type="http://schemas.openxmlformats.org/officeDocument/2006/relationships/hyperlink" Target="http://finance.alberta.ca/publications/budget/estimates/est2014/human-services.pdf" TargetMode="External"/><Relationship Id="rId12" Type="http://schemas.openxmlformats.org/officeDocument/2006/relationships/hyperlink" Target="http://www.fin.gov.on.ca/en/budget/paccts/2013/13vol1eng.pdf" TargetMode="External"/><Relationship Id="rId2" Type="http://schemas.openxmlformats.org/officeDocument/2006/relationships/hyperlink" Target="http://www.gov.mb.ca/ctt/pdfs/11_12_ett_ar.pdf" TargetMode="External"/><Relationship Id="rId16" Type="http://schemas.openxmlformats.org/officeDocument/2006/relationships/printerSettings" Target="../printerSettings/printerSettings35.bin"/><Relationship Id="rId1" Type="http://schemas.openxmlformats.org/officeDocument/2006/relationships/hyperlink" Target="http://www.mess.gouv.qc.ca/statistiques/prestataires-assistance-emploi/archives_en.asp" TargetMode="External"/><Relationship Id="rId6" Type="http://schemas.openxmlformats.org/officeDocument/2006/relationships/hyperlink" Target="http://www.finance.gov.sk.ca/paccts/paccts13/2012-13Volume2.pdf" TargetMode="External"/><Relationship Id="rId11" Type="http://schemas.openxmlformats.org/officeDocument/2006/relationships/hyperlink" Target="http://www.finances.gouv.qc.ca/documents/Comptespublics/en/CPTEN_vol2-2012-2013.pdf" TargetMode="External"/><Relationship Id="rId5" Type="http://schemas.openxmlformats.org/officeDocument/2006/relationships/hyperlink" Target="http://www.gov.pe.ca/photos/original/fema_pa2013_vo2.pdf" TargetMode="External"/><Relationship Id="rId15" Type="http://schemas.openxmlformats.org/officeDocument/2006/relationships/hyperlink" Target="http://www.gov.nu.ca/sites/default/files/files/Finance/Budgets/2014-15%20budgets/2014-15_Main_Estimates_EN.pdf" TargetMode="External"/><Relationship Id="rId10" Type="http://schemas.openxmlformats.org/officeDocument/2006/relationships/hyperlink" Target="http://www.fin.gov.nt.ca/sites/default/files/documents/2014-2015mainestimates.pdf" TargetMode="External"/><Relationship Id="rId4" Type="http://schemas.openxmlformats.org/officeDocument/2006/relationships/hyperlink" Target="http://www.fin.gov.nl.ca/fin/publications/crf_expenditures_revenues.pdf" TargetMode="External"/><Relationship Id="rId9" Type="http://schemas.openxmlformats.org/officeDocument/2006/relationships/hyperlink" Target="http://www.finance.gov.yk.ca/pdf/budget/2014-15budget_15.pdf" TargetMode="External"/><Relationship Id="rId14" Type="http://schemas.openxmlformats.org/officeDocument/2006/relationships/hyperlink" Target="http://www.gov.mb.ca/jec/pdfs/12_13_ett_ar.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www.finance.gov.yk.ca/pdf/budget/2013-14_Main_Estimates.pdf" TargetMode="External"/><Relationship Id="rId3" Type="http://schemas.openxmlformats.org/officeDocument/2006/relationships/hyperlink" Target="http://www.gov.mb.ca/ctt/pdfs/11_12_ett_ar.pdf" TargetMode="External"/><Relationship Id="rId7" Type="http://schemas.openxmlformats.org/officeDocument/2006/relationships/hyperlink" Target="http://www.fin.gov.nt.ca/budget-documents/estimates/documents/2013-14MainEstimates.pdf" TargetMode="External"/><Relationship Id="rId2" Type="http://schemas.openxmlformats.org/officeDocument/2006/relationships/hyperlink" Target="http://www.mess.gouv.qc.ca/statistiques/prestataires-assistance-emploi/archives_en.asp" TargetMode="External"/><Relationship Id="rId1" Type="http://schemas.openxmlformats.org/officeDocument/2006/relationships/hyperlink" Target="http://www.fin.gov.on.ca/en/budget/paccts/2011/11vol1eng.pdf" TargetMode="External"/><Relationship Id="rId6" Type="http://schemas.openxmlformats.org/officeDocument/2006/relationships/hyperlink" Target="http://www.gov.pe.ca/photos/original/fema_pa2012vol2.pdf" TargetMode="External"/><Relationship Id="rId11" Type="http://schemas.openxmlformats.org/officeDocument/2006/relationships/printerSettings" Target="../printerSettings/printerSettings36.bin"/><Relationship Id="rId5" Type="http://schemas.openxmlformats.org/officeDocument/2006/relationships/hyperlink" Target="http://www.finance.gov.nu.ca/apps/fetch/download.aspx?file=Budgets%2fMain+Estimates%2f634988576461875000-663546179-2013-14+Main+Estimates+-+EN.pdf" TargetMode="External"/><Relationship Id="rId10" Type="http://schemas.openxmlformats.org/officeDocument/2006/relationships/hyperlink" Target="http://www.finance.gov.sk.ca/paccts/paccts12/201112Volume2.pdf" TargetMode="External"/><Relationship Id="rId4" Type="http://schemas.openxmlformats.org/officeDocument/2006/relationships/hyperlink" Target="http://www.finance.alberta.ca/publications/budget/estimates/est2013/human-services.pdf" TargetMode="External"/><Relationship Id="rId9" Type="http://schemas.openxmlformats.org/officeDocument/2006/relationships/hyperlink" Target="http://www.gov.mb.ca/ctt/pdfs/11_12_ett_ar.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www.finance.gov.yk.ca/pdf/budget/2012-13budget_15.pdf" TargetMode="External"/><Relationship Id="rId13" Type="http://schemas.openxmlformats.org/officeDocument/2006/relationships/hyperlink" Target="https://www.gov.mb.ca/fs/about/annual_reports/fsca_ar_2011_12.pdf" TargetMode="External"/><Relationship Id="rId3" Type="http://schemas.openxmlformats.org/officeDocument/2006/relationships/hyperlink" Target="http://www.novascotia.ca/finance/site-finance/media/finance/budget2011/Estimates_And_Supp_detail.pdf" TargetMode="External"/><Relationship Id="rId7" Type="http://schemas.openxmlformats.org/officeDocument/2006/relationships/hyperlink" Target="http://www.fin.gov.bc.ca/OCG/pa/10_11/CRF_Supplementary_Sched.pdf" TargetMode="External"/><Relationship Id="rId12" Type="http://schemas.openxmlformats.org/officeDocument/2006/relationships/hyperlink" Target="http://www.gov.pe.ca/photos/original/pa_vol2_2010.pdf" TargetMode="External"/><Relationship Id="rId2" Type="http://schemas.openxmlformats.org/officeDocument/2006/relationships/hyperlink" Target="http://www.fin.gov.nl.ca/fin/publications/CRFreport_march2011.pdf" TargetMode="External"/><Relationship Id="rId1" Type="http://schemas.openxmlformats.org/officeDocument/2006/relationships/hyperlink" Target="http://www.finances.gouv.qc.ca/documents/Comptespublics/en/CPTEN_vol2-2009-2010.pdf" TargetMode="External"/><Relationship Id="rId6" Type="http://schemas.openxmlformats.org/officeDocument/2006/relationships/hyperlink" Target="http://www.finance.alberta.ca/publications/budget/estimates/est2012/human-services.pdf" TargetMode="External"/><Relationship Id="rId11" Type="http://schemas.openxmlformats.org/officeDocument/2006/relationships/hyperlink" Target="http://www.finance.gov.sk.ca/paccts/paccts11/201011Volume2.pdf" TargetMode="External"/><Relationship Id="rId5" Type="http://schemas.openxmlformats.org/officeDocument/2006/relationships/hyperlink" Target="http://www.fin.gov.on.ca/en/budget/paccts/2011/11vol1eng.pdf" TargetMode="External"/><Relationship Id="rId10" Type="http://schemas.openxmlformats.org/officeDocument/2006/relationships/hyperlink" Target="http://www.mess.gouv.qc.ca/statistiques/prestataires-assistance-emploi/archives_en.asp" TargetMode="External"/><Relationship Id="rId4" Type="http://schemas.openxmlformats.org/officeDocument/2006/relationships/hyperlink" Target="http://www.gnb.ca/0087/pubacct/PA11v2.pdf" TargetMode="External"/><Relationship Id="rId9" Type="http://schemas.openxmlformats.org/officeDocument/2006/relationships/hyperlink" Target="http://www.finance.alberta.ca/publications/budget/estimates/est2012/seniors.pdf" TargetMode="External"/><Relationship Id="rId14"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finance.gov.sk.ca/paccts/paccts10/compendium/reports/200910Volume2.pdf" TargetMode="External"/><Relationship Id="rId3" Type="http://schemas.openxmlformats.org/officeDocument/2006/relationships/hyperlink" Target="http://www.gov.mb.ca/fs/about/annual_reports/2009-10/fsca_annual_report_09_10.pdf" TargetMode="External"/><Relationship Id="rId7" Type="http://schemas.openxmlformats.org/officeDocument/2006/relationships/hyperlink" Target="http://www.finances.gouv.qc.ca/documents/Comptespublics/en/CPTEN_vol2-2009-2010.pdf" TargetMode="External"/><Relationship Id="rId2" Type="http://schemas.openxmlformats.org/officeDocument/2006/relationships/hyperlink" Target="http://www.finance.gov.yk.ca/pdf/budget/2011-12om_15.pdf" TargetMode="External"/><Relationship Id="rId1" Type="http://schemas.openxmlformats.org/officeDocument/2006/relationships/hyperlink" Target="http://www.fin.gov.on.ca/en/budget/paccts/2010/10vol1eng.pdf" TargetMode="External"/><Relationship Id="rId6" Type="http://schemas.openxmlformats.org/officeDocument/2006/relationships/hyperlink" Target="http://www.bdso.gouv.qc.ca/docs-ken/multimedia/PB00902FR_pub_ass_emploi2010m03F00.pdf" TargetMode="External"/><Relationship Id="rId5" Type="http://schemas.openxmlformats.org/officeDocument/2006/relationships/hyperlink" Target="http://www.fin.gov.bc.ca/OCG/pa/09_10/CRF_Supplementary_Sched.pdf" TargetMode="External"/><Relationship Id="rId4" Type="http://schemas.openxmlformats.org/officeDocument/2006/relationships/hyperlink" Target="http://www.finance.alberta.ca/publications/budget/estimates/est2011/employment-immigration.pdf" TargetMode="External"/><Relationship Id="rId9" Type="http://schemas.openxmlformats.org/officeDocument/2006/relationships/printerSettings" Target="../printerSettings/printerSettings38.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finance.gov.yk.ca/pdf/budget/2009-10om_15.pdf" TargetMode="External"/><Relationship Id="rId7" Type="http://schemas.openxmlformats.org/officeDocument/2006/relationships/printerSettings" Target="../printerSettings/printerSettings39.bin"/><Relationship Id="rId2" Type="http://schemas.openxmlformats.org/officeDocument/2006/relationships/hyperlink" Target="http://www.finance.gov.sk.ca/paccts/paccts09/200809Volume2.pdf" TargetMode="External"/><Relationship Id="rId1" Type="http://schemas.openxmlformats.org/officeDocument/2006/relationships/hyperlink" Target="http://www.fin.gov.nl.ca/fin/publications/finpublicationsreportoncrf_08_09.pdf" TargetMode="External"/><Relationship Id="rId6" Type="http://schemas.openxmlformats.org/officeDocument/2006/relationships/hyperlink" Target="http://www.finance.alberta.ca/publications/budget/estimates/est2010/employment-immigration.pdf" TargetMode="External"/><Relationship Id="rId5" Type="http://schemas.openxmlformats.org/officeDocument/2006/relationships/hyperlink" Target="http://www.finances.gouv.qc.ca/documents/Comptespublics/en/CPTEN_vol2-2008-2009.pdf" TargetMode="External"/><Relationship Id="rId4" Type="http://schemas.openxmlformats.org/officeDocument/2006/relationships/hyperlink" Target="http://www.bdso.gouv.qc.ca/docs-ken/multimedia/PB00902FR_pub_ass_emploi2009m03F00.pdf"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gov.ns.ca/finance/site-finance/media/finance/2007_suppestimates.pdf" TargetMode="External"/><Relationship Id="rId2" Type="http://schemas.openxmlformats.org/officeDocument/2006/relationships/hyperlink" Target="http://www.gov.pe.ca/budget/2006/estimates.pdf" TargetMode="External"/><Relationship Id="rId1" Type="http://schemas.openxmlformats.org/officeDocument/2006/relationships/hyperlink" Target="http://www.fin.gov.nl.ca/ComptrollerGeneral/" TargetMode="External"/><Relationship Id="rId6" Type="http://schemas.openxmlformats.org/officeDocument/2006/relationships/printerSettings" Target="../printerSettings/printerSettings40.bin"/><Relationship Id="rId5" Type="http://schemas.openxmlformats.org/officeDocument/2006/relationships/hyperlink" Target="http://www.finance.alberta.ca/publications/budget/estimates/est2007/employment.pdf" TargetMode="External"/><Relationship Id="rId4" Type="http://schemas.openxmlformats.org/officeDocument/2006/relationships/hyperlink" Target="http://finance.gov.sk.ca/paccts/paccts06/volume2-2005-06.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9.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hyperlink" Target="http://www.hrsdc.gc.ca/eng/disability_issues/reports/fdr/2011/fdr_2011.pdf" TargetMode="External"/><Relationship Id="rId7" Type="http://schemas.openxmlformats.org/officeDocument/2006/relationships/vmlDrawing" Target="../drawings/vmlDrawing4.vml"/><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hrsdc.gc.ca/eng/employment/ei/reports/eimar_2010/annex/annex2_11.shtml" TargetMode="External"/><Relationship Id="rId6" Type="http://schemas.openxmlformats.org/officeDocument/2006/relationships/printerSettings" Target="../printerSettings/printerSettings42.bin"/><Relationship Id="rId5" Type="http://schemas.openxmlformats.org/officeDocument/2006/relationships/hyperlink" Target="http://www.awcbc.org/en/statistics.asp" TargetMode="External"/><Relationship Id="rId4" Type="http://schemas.openxmlformats.org/officeDocument/2006/relationships/hyperlink" Target="http://www.awcbc.org/en/statistics.asp"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fin.gc.ca/taxexp-depfisc/2013/taxexp-depfisc13-eng.pdf" TargetMode="External"/><Relationship Id="rId2" Type="http://schemas.openxmlformats.org/officeDocument/2006/relationships/hyperlink" Target="http://www.tpsgc-pwgsc.gc.ca/recgen/cpc-pac/2012/vol2/acc-vac/index-eng.html" TargetMode="External"/><Relationship Id="rId1" Type="http://schemas.openxmlformats.org/officeDocument/2006/relationships/hyperlink" Target="http://www.awcbc.org/en/statistics.asp" TargetMode="External"/><Relationship Id="rId4"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www.hrsdc.gc.ca/eng/employment/ei/reports/eimar_2011/annex/annex3_1.shtml" TargetMode="External"/><Relationship Id="rId7" Type="http://schemas.openxmlformats.org/officeDocument/2006/relationships/vmlDrawing" Target="../drawings/vmlDrawing5.vml"/><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hrsdc.gc.ca/en/ei/reports/annex2_2006.pdf" TargetMode="External"/><Relationship Id="rId6" Type="http://schemas.openxmlformats.org/officeDocument/2006/relationships/printerSettings" Target="../printerSettings/printerSettings45.bin"/><Relationship Id="rId5" Type="http://schemas.openxmlformats.org/officeDocument/2006/relationships/hyperlink" Target="http://www.awcbc.org/en/statistics.asp" TargetMode="External"/><Relationship Id="rId4" Type="http://schemas.openxmlformats.org/officeDocument/2006/relationships/hyperlink" Target="http://www.hrsdc.gc.ca/eng/disability_issues/reports/fdr/2011/fdr_2011.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hrsdc.gc.ca/eng/employment/ei/reports/eimar_2011/annex/annex3_1.shtml" TargetMode="External"/><Relationship Id="rId7" Type="http://schemas.openxmlformats.org/officeDocument/2006/relationships/printerSettings" Target="../printerSettings/printerSettings50.bin"/><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hrsdc.gc.ca/en/ei/reports/annex2_2006.pdf" TargetMode="External"/><Relationship Id="rId6" Type="http://schemas.openxmlformats.org/officeDocument/2006/relationships/hyperlink" Target="http://www.awcbc.org/en/statistics.asp" TargetMode="External"/><Relationship Id="rId5" Type="http://schemas.openxmlformats.org/officeDocument/2006/relationships/hyperlink" Target="http://www.awcbc.org/en/statistics.asp" TargetMode="External"/><Relationship Id="rId4" Type="http://schemas.openxmlformats.org/officeDocument/2006/relationships/hyperlink" Target="http://www.hrsdc.gc.ca/eng/disability_issues/reports/fdr/2011/fdr_2011.pdf"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hrsdc.gc.ca/eng/disability_issues/reports/fdr/2011/fdr_2011.pdf" TargetMode="External"/><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hrsdc.gc.ca/en/ei/reports/annex2_2006.pdf" TargetMode="External"/><Relationship Id="rId6" Type="http://schemas.openxmlformats.org/officeDocument/2006/relationships/printerSettings" Target="../printerSettings/printerSettings53.bin"/><Relationship Id="rId5" Type="http://schemas.openxmlformats.org/officeDocument/2006/relationships/hyperlink" Target="http://www.awcbc.org/en/statistics.asp" TargetMode="External"/><Relationship Id="rId4" Type="http://schemas.openxmlformats.org/officeDocument/2006/relationships/hyperlink" Target="http://www.fin.gov.nl.ca/fin/publications/CRFreport_march2011.pdf"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gov.pe.ca/budget/2006/estimates.pdf" TargetMode="External"/><Relationship Id="rId7" Type="http://schemas.openxmlformats.org/officeDocument/2006/relationships/printerSettings" Target="../printerSettings/printerSettings59.bin"/><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hrsdc.gc.ca/en/ei/reports/annex2_2006.pdf" TargetMode="External"/><Relationship Id="rId6" Type="http://schemas.openxmlformats.org/officeDocument/2006/relationships/hyperlink" Target="http://www.awcbc.org/en/statistics.asp" TargetMode="External"/><Relationship Id="rId5" Type="http://schemas.openxmlformats.org/officeDocument/2006/relationships/hyperlink" Target="http://www.hrsdc.gc.ca/eng/disability_issues/reports/fdr/2011/fdr_2011.pdf" TargetMode="External"/><Relationship Id="rId4" Type="http://schemas.openxmlformats.org/officeDocument/2006/relationships/hyperlink" Target="http://www.hrsdc.gc.ca/eng/employment/ei/reports/eimar_2010/annex/annex2_11.shtml"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www.gov.ns.ca/finance/site-finance/media/finance/2007_suppestimates.pdf" TargetMode="External"/><Relationship Id="rId7" Type="http://schemas.openxmlformats.org/officeDocument/2006/relationships/printerSettings" Target="../printerSettings/printerSettings61.bin"/><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hrsdc.gc.ca/en/ei/reports/annex2_2006.pdf" TargetMode="External"/><Relationship Id="rId6" Type="http://schemas.openxmlformats.org/officeDocument/2006/relationships/hyperlink" Target="http://www.awcbc.org/en/statistics.asp" TargetMode="External"/><Relationship Id="rId5" Type="http://schemas.openxmlformats.org/officeDocument/2006/relationships/hyperlink" Target="http://www.hrsdc.gc.ca/eng/disability_issues/reports/fdr/2011/fdr_2011.pdf" TargetMode="External"/><Relationship Id="rId4" Type="http://schemas.openxmlformats.org/officeDocument/2006/relationships/hyperlink" Target="http://www.hrsdc.gc.ca/eng/employment/ei/reports/eimar_2010/annex/annex2_11.shtml"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hrsdc.gc.ca/eng/employment/ei/reports/eimar_2010/annex/annex2_11.shtml" TargetMode="External"/><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hrsdc.gc.ca/en/ei/reports/annex2_2006.pdf" TargetMode="External"/><Relationship Id="rId6" Type="http://schemas.openxmlformats.org/officeDocument/2006/relationships/printerSettings" Target="../printerSettings/printerSettings63.bin"/><Relationship Id="rId5" Type="http://schemas.openxmlformats.org/officeDocument/2006/relationships/hyperlink" Target="http://www.awcbc.org/en/statistics.asp" TargetMode="External"/><Relationship Id="rId4" Type="http://schemas.openxmlformats.org/officeDocument/2006/relationships/hyperlink" Target="http://www.gnb.ca/0087/pubacct/PA11v2.pdf"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awcbc.org/en/statistics.asp" TargetMode="External"/><Relationship Id="rId3" Type="http://schemas.openxmlformats.org/officeDocument/2006/relationships/hyperlink" Target="http://www.finances.gouv.qc.ca/documents/Comptespublics/en/CPTEN_vol2-2009-2010.pdf" TargetMode="External"/><Relationship Id="rId7" Type="http://schemas.openxmlformats.org/officeDocument/2006/relationships/hyperlink" Target="http://www.awcbc.org/en/statistics.asp" TargetMode="External"/><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hrsdc.gc.ca/en/ei/reports/annex2_2006.pdf" TargetMode="External"/><Relationship Id="rId6" Type="http://schemas.openxmlformats.org/officeDocument/2006/relationships/hyperlink" Target="http://www.hrsdc.gc.ca/eng/disability_issues/reports/fdr/2011/fdr_2011.pdf" TargetMode="External"/><Relationship Id="rId5" Type="http://schemas.openxmlformats.org/officeDocument/2006/relationships/hyperlink" Target="http://www.finances.gouv.qc.ca/documents/Comptespublics/en/CPTEN_vol2-2009-2010.pdf" TargetMode="External"/><Relationship Id="rId4" Type="http://schemas.openxmlformats.org/officeDocument/2006/relationships/hyperlink" Target="http://www.hrsdc.gc.ca/eng/employment/ei/reports/eimar_2010/annex/annex2_11.shtml" TargetMode="External"/><Relationship Id="rId9" Type="http://schemas.openxmlformats.org/officeDocument/2006/relationships/printerSettings" Target="../printerSettings/printerSettings66.bin"/></Relationships>
</file>

<file path=xl/worksheets/_rels/sheet37.xml.rels><?xml version="1.0" encoding="UTF-8" standalone="yes"?>
<Relationships xmlns="http://schemas.openxmlformats.org/package/2006/relationships"><Relationship Id="rId3" Type="http://schemas.openxmlformats.org/officeDocument/2006/relationships/hyperlink" Target="http://finance.gov.sk.ca/paccts/paccts06/volume2-2005-06.pdf" TargetMode="External"/><Relationship Id="rId7" Type="http://schemas.openxmlformats.org/officeDocument/2006/relationships/printerSettings" Target="../printerSettings/printerSettings71.bin"/><Relationship Id="rId2" Type="http://schemas.openxmlformats.org/officeDocument/2006/relationships/hyperlink" Target="http://www.hrsdc.gc.ca/eng/employment/ei/reports/eimar_2010/annex/annex2_11.shtml" TargetMode="External"/><Relationship Id="rId1" Type="http://schemas.openxmlformats.org/officeDocument/2006/relationships/hyperlink" Target="http://www.hrsdc.gc.ca/en/ei/reports/annex2_2006.pdf" TargetMode="External"/><Relationship Id="rId6" Type="http://schemas.openxmlformats.org/officeDocument/2006/relationships/hyperlink" Target="http://www.awcbc.org/en/statistics.asp" TargetMode="External"/><Relationship Id="rId5" Type="http://schemas.openxmlformats.org/officeDocument/2006/relationships/hyperlink" Target="http://www.hrsdc.gc.ca/eng/disability_issues/reports/fdr/2011/fdr_2011.pdf" TargetMode="External"/><Relationship Id="rId4" Type="http://schemas.openxmlformats.org/officeDocument/2006/relationships/hyperlink" Target="http://www.hrsdc.gc.ca/eng/employment/ei/reports/eimar_2010/annex/annex2_11.s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fin.gc.ca/taxexp-depfisc/2013/taxexp-depfisc13-eng.pdf" TargetMode="External"/><Relationship Id="rId2" Type="http://schemas.openxmlformats.org/officeDocument/2006/relationships/hyperlink" Target="http://www.tpsgc-pwgsc.gc.ca/recgen/cpc-pac/2012/vol2/acc-vac/index-eng.html" TargetMode="External"/><Relationship Id="rId1" Type="http://schemas.openxmlformats.org/officeDocument/2006/relationships/hyperlink" Target="http://www.awcbc.org/en/statistics.asp" TargetMode="External"/><Relationship Id="rId4" Type="http://schemas.openxmlformats.org/officeDocument/2006/relationships/printerSettings" Target="../printerSettings/printerSettings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7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tpsgc-pwgsc.gc.ca/recgen/cpc-pac/2012/vol2/acc-vac/index-eng.html" TargetMode="External"/><Relationship Id="rId2" Type="http://schemas.openxmlformats.org/officeDocument/2006/relationships/hyperlink" Target="http://www.hrsdc.gc.ca/eng/employment/ei/reports/eimar_2011/annex/annex3_1.shtml" TargetMode="External"/><Relationship Id="rId1" Type="http://schemas.openxmlformats.org/officeDocument/2006/relationships/hyperlink" Target="http://www.awcbc.org/en/statistics.asp" TargetMode="External"/><Relationship Id="rId5" Type="http://schemas.openxmlformats.org/officeDocument/2006/relationships/printerSettings" Target="../printerSettings/printerSettings10.bin"/><Relationship Id="rId4" Type="http://schemas.openxmlformats.org/officeDocument/2006/relationships/hyperlink" Target="http://www.fin.gc.ca/taxexp-depfisc/2013/taxexp-depfisc13-eng.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hrsdc.gc.ca/eng/disability_issues/reports/fdr/2011/fdr_2011.pdf" TargetMode="External"/><Relationship Id="rId2" Type="http://schemas.openxmlformats.org/officeDocument/2006/relationships/hyperlink" Target="http://www.hrsdc.gc.ca/eng/employment/ei/reports/eimar_2011/annex/annex3_1.shtml" TargetMode="External"/><Relationship Id="rId1" Type="http://schemas.openxmlformats.org/officeDocument/2006/relationships/hyperlink" Target="http://www.awcbc.org/en/statistics.asp" TargetMode="External"/><Relationship Id="rId5" Type="http://schemas.openxmlformats.org/officeDocument/2006/relationships/printerSettings" Target="../printerSettings/printerSettings11.bin"/><Relationship Id="rId4" Type="http://schemas.openxmlformats.org/officeDocument/2006/relationships/hyperlink" Target="http://www.fin.gc.ca/taxexp-depfisc/2013/taxexp-depfisc13-eng.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awcbc.org/en/statistics.asp" TargetMode="External"/><Relationship Id="rId7" Type="http://schemas.openxmlformats.org/officeDocument/2006/relationships/printerSettings" Target="../printerSettings/printerSettings12.bin"/><Relationship Id="rId2" Type="http://schemas.openxmlformats.org/officeDocument/2006/relationships/hyperlink" Target="http://www.servicecanada.gc.ca/eng/isp/statistics/pdf/statbook.pdf" TargetMode="External"/><Relationship Id="rId1" Type="http://schemas.openxmlformats.org/officeDocument/2006/relationships/hyperlink" Target="http://www.hrsdc.gc.ca/eng/disability_issues/reports/fdr/2010/fdr_2010.pdf" TargetMode="External"/><Relationship Id="rId6" Type="http://schemas.openxmlformats.org/officeDocument/2006/relationships/hyperlink" Target="http://www.hrsdc.gc.ca/eng/employment/ei/reports/eimar_2010/annex/annex2_11.shtml" TargetMode="External"/><Relationship Id="rId5" Type="http://schemas.openxmlformats.org/officeDocument/2006/relationships/hyperlink" Target="http://www.hrsdc.gc.ca/eng/disability_issues/reports/fdr/2010/fdr_2010.pdf" TargetMode="External"/><Relationship Id="rId4" Type="http://schemas.openxmlformats.org/officeDocument/2006/relationships/hyperlink" Target="http://www.hrsdc.gc.ca/eng/disability_issues/reports/fdr/2010/fdr_2010.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hrsdc.gc.ca/eng/employment/ei/reports/eimar_2010/annex/annex2_11.shtml" TargetMode="External"/><Relationship Id="rId2" Type="http://schemas.openxmlformats.org/officeDocument/2006/relationships/hyperlink" Target="http://www.fin.gc.ca/taxexp-depfisc/2011/taxexp1101-eng.asp" TargetMode="External"/><Relationship Id="rId1" Type="http://schemas.openxmlformats.org/officeDocument/2006/relationships/hyperlink" Target="http://www.hrsdc.gc.ca/eng/disability_issues/reports/fdr/2009/page11.shtml" TargetMode="External"/><Relationship Id="rId4"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fin.gc.ca/taxexp-depfisc/2011/taxexp1101-eng.asp" TargetMode="External"/><Relationship Id="rId1" Type="http://schemas.openxmlformats.org/officeDocument/2006/relationships/hyperlink" Target="http://www.hrsdc.gc.ca/eng/disability_issues/reports/fdr/2006/advancinginclusion.pdf" TargetMode="External"/></Relationships>
</file>

<file path=xl/worksheets/sheet1.xml><?xml version="1.0" encoding="utf-8"?>
<worksheet xmlns="http://schemas.openxmlformats.org/spreadsheetml/2006/main" xmlns:r="http://schemas.openxmlformats.org/officeDocument/2006/relationships">
  <dimension ref="B2:B22"/>
  <sheetViews>
    <sheetView tabSelected="1" workbookViewId="0">
      <selection activeCell="B1" sqref="B1"/>
    </sheetView>
  </sheetViews>
  <sheetFormatPr defaultRowHeight="12.75"/>
  <cols>
    <col min="2" max="2" width="143.140625" customWidth="1"/>
  </cols>
  <sheetData>
    <row r="2" spans="2:2" ht="14.25">
      <c r="B2" s="330" t="s">
        <v>1055</v>
      </c>
    </row>
    <row r="3" spans="2:2" ht="28.5">
      <c r="B3" s="333" t="s">
        <v>1042</v>
      </c>
    </row>
    <row r="4" spans="2:2" ht="14.25">
      <c r="B4" s="333"/>
    </row>
    <row r="5" spans="2:2" ht="14.25">
      <c r="B5" s="331" t="s">
        <v>1043</v>
      </c>
    </row>
    <row r="6" spans="2:2" ht="15">
      <c r="B6" s="332" t="s">
        <v>1044</v>
      </c>
    </row>
    <row r="7" spans="2:2" ht="15">
      <c r="B7" s="332" t="s">
        <v>1045</v>
      </c>
    </row>
    <row r="8" spans="2:2" ht="15">
      <c r="B8" s="332" t="s">
        <v>1046</v>
      </c>
    </row>
    <row r="9" spans="2:2" ht="15">
      <c r="B9" s="332" t="s">
        <v>1047</v>
      </c>
    </row>
    <row r="10" spans="2:2" ht="15">
      <c r="B10" s="332" t="s">
        <v>1048</v>
      </c>
    </row>
    <row r="11" spans="2:2" ht="15">
      <c r="B11" s="332" t="s">
        <v>1049</v>
      </c>
    </row>
    <row r="12" spans="2:2" ht="15">
      <c r="B12" s="332" t="s">
        <v>1050</v>
      </c>
    </row>
    <row r="13" spans="2:2" ht="15">
      <c r="B13" s="332"/>
    </row>
    <row r="14" spans="2:2" ht="14.25">
      <c r="B14" s="331" t="s">
        <v>1051</v>
      </c>
    </row>
    <row r="15" spans="2:2" ht="14.25">
      <c r="B15" s="331"/>
    </row>
    <row r="16" spans="2:2" ht="28.5">
      <c r="B16" s="333" t="s">
        <v>1052</v>
      </c>
    </row>
    <row r="17" spans="2:2" ht="14.25">
      <c r="B17" s="333"/>
    </row>
    <row r="18" spans="2:2" ht="28.5">
      <c r="B18" s="333" t="s">
        <v>1053</v>
      </c>
    </row>
    <row r="19" spans="2:2" ht="14.25">
      <c r="B19" s="333"/>
    </row>
    <row r="20" spans="2:2" ht="14.25">
      <c r="B20" s="331" t="s">
        <v>1054</v>
      </c>
    </row>
    <row r="22" spans="2:2" ht="28.5">
      <c r="B22" s="334" t="s">
        <v>1056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pageSetUpPr fitToPage="1"/>
  </sheetPr>
  <dimension ref="A2:I50"/>
  <sheetViews>
    <sheetView workbookViewId="0">
      <selection activeCell="N20" sqref="N20"/>
    </sheetView>
  </sheetViews>
  <sheetFormatPr defaultRowHeight="12.75"/>
  <cols>
    <col min="1" max="1" width="43" customWidth="1"/>
    <col min="2" max="3" width="12.7109375" customWidth="1"/>
    <col min="5" max="5" width="12.7109375" customWidth="1"/>
  </cols>
  <sheetData>
    <row r="2" spans="1:7">
      <c r="B2" s="1" t="s">
        <v>58</v>
      </c>
      <c r="C2" s="1" t="s">
        <v>104</v>
      </c>
      <c r="E2" s="1" t="s">
        <v>181</v>
      </c>
    </row>
    <row r="3" spans="1:7">
      <c r="B3" s="1" t="s">
        <v>16</v>
      </c>
      <c r="C3" s="1" t="s">
        <v>16</v>
      </c>
      <c r="D3" s="2" t="s">
        <v>170</v>
      </c>
      <c r="E3" s="1" t="s">
        <v>16</v>
      </c>
      <c r="F3" s="2" t="s">
        <v>170</v>
      </c>
    </row>
    <row r="4" spans="1:7">
      <c r="A4" s="2" t="s">
        <v>11</v>
      </c>
    </row>
    <row r="6" spans="1:7">
      <c r="A6" t="s">
        <v>0</v>
      </c>
      <c r="B6" s="9">
        <f>'Disability $ details 05-06'!B6</f>
        <v>540</v>
      </c>
      <c r="C6" s="9">
        <f>'CAN Dis $ details 08-09'!B6</f>
        <v>635</v>
      </c>
      <c r="D6" s="6"/>
      <c r="E6" s="9">
        <f>'CAN Disability details 09-10'!B6</f>
        <v>620</v>
      </c>
      <c r="F6" s="6"/>
    </row>
    <row r="7" spans="1:7">
      <c r="A7" t="s">
        <v>1</v>
      </c>
      <c r="B7" s="9">
        <f>'Disability $ details 05-06'!B7</f>
        <v>875</v>
      </c>
      <c r="C7" s="9">
        <f>'CAN Dis $ details 08-09'!B7</f>
        <v>995</v>
      </c>
      <c r="D7" s="6"/>
      <c r="E7" s="9">
        <f>'CAN Disability details 09-10'!B7</f>
        <v>1000</v>
      </c>
      <c r="F7" s="6"/>
    </row>
    <row r="8" spans="1:7">
      <c r="A8" t="s">
        <v>14</v>
      </c>
      <c r="B8" s="9">
        <f>'Disability $ details 05-06'!B8</f>
        <v>85</v>
      </c>
      <c r="C8" s="9">
        <f>'CAN Dis $ details 08-09'!B8</f>
        <v>90</v>
      </c>
      <c r="D8" s="6"/>
      <c r="E8" s="9">
        <f>'CAN Disability details 09-10'!B8</f>
        <v>97</v>
      </c>
      <c r="F8" s="6"/>
    </row>
    <row r="9" spans="1:7">
      <c r="A9" t="s">
        <v>2</v>
      </c>
      <c r="B9" s="9">
        <f>'Disability $ details 05-06'!B9</f>
        <v>5</v>
      </c>
      <c r="C9" s="9">
        <f>'CAN Dis $ details 08-09'!B9</f>
        <v>5</v>
      </c>
      <c r="D9" s="6"/>
      <c r="E9" s="9">
        <f>'CAN Disability details 09-10'!B9</f>
        <v>5</v>
      </c>
      <c r="F9" s="6"/>
    </row>
    <row r="10" spans="1:7">
      <c r="A10" t="s">
        <v>68</v>
      </c>
      <c r="B10" s="9">
        <f>'Disability $ details 05-06'!B10</f>
        <v>0</v>
      </c>
      <c r="C10" s="9">
        <f>'CAN Dis $ details 08-09'!B10</f>
        <v>0</v>
      </c>
      <c r="D10" s="6"/>
      <c r="E10" s="9">
        <f>'CAN Disability details 09-10'!B10</f>
        <v>0</v>
      </c>
      <c r="F10" s="6"/>
    </row>
    <row r="11" spans="1:7">
      <c r="A11" t="s">
        <v>3</v>
      </c>
      <c r="B11" s="9">
        <f>'Disability $ details 05-06'!B11</f>
        <v>115</v>
      </c>
      <c r="C11" s="9">
        <f>'CAN Dis $ details 08-09'!B11</f>
        <v>120</v>
      </c>
      <c r="D11" s="6"/>
      <c r="E11" s="9">
        <f>'CAN Disability details 09-10'!B11</f>
        <v>130</v>
      </c>
      <c r="F11" s="6"/>
    </row>
    <row r="12" spans="1:7">
      <c r="A12" t="s">
        <v>15</v>
      </c>
      <c r="B12" s="9">
        <f>'Disability $ details 05-06'!B12</f>
        <v>90</v>
      </c>
      <c r="C12" s="9">
        <f>'CAN Dis $ details 08-09'!B12</f>
        <v>160.9</v>
      </c>
      <c r="D12" s="6"/>
      <c r="E12" s="9">
        <f>'CAN Disability details 09-10'!B12</f>
        <v>196.5</v>
      </c>
      <c r="F12" s="6"/>
    </row>
    <row r="13" spans="1:7">
      <c r="A13" s="3" t="s">
        <v>11</v>
      </c>
      <c r="B13" s="21">
        <f>SUM(B6:B12)</f>
        <v>1710</v>
      </c>
      <c r="C13" s="21">
        <f>SUM(C6:C12)</f>
        <v>2005.9</v>
      </c>
      <c r="D13" s="57">
        <f>(C13-B13)/B13</f>
        <v>0.17304093567251466</v>
      </c>
      <c r="E13" s="21">
        <f>SUM(E6:E12)</f>
        <v>2048.5</v>
      </c>
      <c r="F13" s="57">
        <f>(E13-B13)/B13</f>
        <v>0.19795321637426899</v>
      </c>
      <c r="G13" t="s">
        <v>347</v>
      </c>
    </row>
    <row r="14" spans="1:7">
      <c r="B14" s="9"/>
      <c r="C14" s="9"/>
      <c r="D14" s="6"/>
      <c r="E14" s="9"/>
      <c r="F14" s="57"/>
    </row>
    <row r="15" spans="1:7">
      <c r="A15" s="2" t="s">
        <v>4</v>
      </c>
      <c r="B15" s="9"/>
      <c r="C15" s="9"/>
      <c r="D15" s="6"/>
      <c r="E15" s="9"/>
      <c r="F15" s="57"/>
    </row>
    <row r="16" spans="1:7">
      <c r="A16" t="s">
        <v>5</v>
      </c>
      <c r="B16" s="9">
        <f>'Disability $ details 05-06'!B16</f>
        <v>3127</v>
      </c>
      <c r="C16" s="9">
        <f>'CAN Dis $ details 08-09'!B16</f>
        <v>3326</v>
      </c>
      <c r="D16" s="6"/>
      <c r="E16" s="9">
        <f>'CAN Disability details 09-10'!B16</f>
        <v>3513</v>
      </c>
      <c r="F16" s="57">
        <f>(E16-B16)/B16</f>
        <v>0.12344099776143268</v>
      </c>
    </row>
    <row r="17" spans="1:7">
      <c r="A17" t="s">
        <v>69</v>
      </c>
      <c r="B17" s="9">
        <f>'Disability $ details 05-06'!B17</f>
        <v>652.79999999999995</v>
      </c>
      <c r="C17" s="9">
        <f>'CAN Dis $ details 08-09'!B17</f>
        <v>722</v>
      </c>
      <c r="D17" s="6"/>
      <c r="E17" s="9">
        <f>'CAN Disability details 09-10'!B17</f>
        <v>749.4</v>
      </c>
      <c r="F17" s="57">
        <f>(E17-B17)/B17</f>
        <v>0.14797794117647065</v>
      </c>
    </row>
    <row r="18" spans="1:7">
      <c r="A18" t="s">
        <v>6</v>
      </c>
      <c r="B18" s="9">
        <f>'Disability $ details 05-06'!B18</f>
        <v>859.2</v>
      </c>
      <c r="C18" s="135">
        <f>'CAN Dis $ details 08-09'!B18</f>
        <v>1008.8</v>
      </c>
      <c r="D18" s="6"/>
      <c r="E18" s="135">
        <f>'CAN Disability details 09-10'!B18</f>
        <v>1075.2</v>
      </c>
      <c r="F18" s="146">
        <f>(E18-B18)/B18</f>
        <v>0.25139664804469275</v>
      </c>
    </row>
    <row r="19" spans="1:7">
      <c r="A19" s="3" t="s">
        <v>24</v>
      </c>
      <c r="B19" s="21">
        <f>SUM(B16:B18)</f>
        <v>4639</v>
      </c>
      <c r="C19" s="21">
        <f>SUM(C16:C18)</f>
        <v>5056.8</v>
      </c>
      <c r="D19" s="57">
        <f>(C19-B19)/B19</f>
        <v>9.0062513472731226E-2</v>
      </c>
      <c r="E19" s="21">
        <f>SUM(E16:E18)</f>
        <v>5337.5999999999995</v>
      </c>
      <c r="F19" s="57"/>
    </row>
    <row r="20" spans="1:7">
      <c r="B20" s="9"/>
      <c r="C20" s="9"/>
      <c r="D20" s="6"/>
      <c r="E20" s="9"/>
      <c r="F20" s="57"/>
    </row>
    <row r="21" spans="1:7">
      <c r="A21" s="2" t="s">
        <v>99</v>
      </c>
      <c r="B21" s="9"/>
      <c r="C21" s="9"/>
      <c r="D21" s="6"/>
      <c r="E21" s="9"/>
      <c r="F21" s="57"/>
    </row>
    <row r="22" spans="1:7">
      <c r="A22" t="s">
        <v>100</v>
      </c>
      <c r="B22" s="9">
        <f>'Disability $ details 05-06'!B22</f>
        <v>1656</v>
      </c>
      <c r="C22" s="9">
        <f>'CAN Dis $ details 08-09'!B22</f>
        <v>1973.9</v>
      </c>
      <c r="D22" s="6"/>
      <c r="E22" s="9">
        <f>'CAN Disability details 09-10'!B22</f>
        <v>2030.2</v>
      </c>
      <c r="F22" s="57">
        <f>(E22-B22)/B22</f>
        <v>0.22596618357487924</v>
      </c>
    </row>
    <row r="23" spans="1:7">
      <c r="A23" s="3" t="s">
        <v>24</v>
      </c>
      <c r="B23" s="21">
        <f>SUM(B22:B22)</f>
        <v>1656</v>
      </c>
      <c r="C23" s="21">
        <f>SUM(C22:C22)</f>
        <v>1973.9</v>
      </c>
      <c r="D23" s="57">
        <f>(C23-B23)/B23</f>
        <v>0.19196859903381647</v>
      </c>
      <c r="E23" s="21">
        <f>SUM(E22:E22)</f>
        <v>2030.2</v>
      </c>
      <c r="F23" s="57"/>
    </row>
    <row r="24" spans="1:7">
      <c r="B24" s="9"/>
      <c r="C24" s="9"/>
      <c r="D24" s="6"/>
      <c r="E24" s="9"/>
      <c r="F24" s="57"/>
    </row>
    <row r="25" spans="1:7">
      <c r="A25" s="2" t="s">
        <v>18</v>
      </c>
      <c r="B25" s="9"/>
      <c r="C25" s="9"/>
      <c r="D25" s="6"/>
      <c r="E25" s="9"/>
      <c r="F25" s="57"/>
    </row>
    <row r="26" spans="1:7">
      <c r="A26" t="s">
        <v>17</v>
      </c>
      <c r="B26" s="25">
        <f>'Disability $ details 05-06'!B26</f>
        <v>5581.9300000000012</v>
      </c>
      <c r="C26" s="9">
        <f>'CAN Dis $ details 08-09'!B26</f>
        <v>6262.9412500000017</v>
      </c>
      <c r="D26" s="6"/>
      <c r="E26" s="102">
        <f>'CAN Disability details 09-10'!B26</f>
        <v>6930.3425000000007</v>
      </c>
      <c r="F26" s="113">
        <f>(E26-B26)/B26</f>
        <v>0.24156743276966913</v>
      </c>
      <c r="G26" s="2"/>
    </row>
    <row r="27" spans="1:7">
      <c r="A27" t="s">
        <v>12</v>
      </c>
      <c r="B27" s="25">
        <f>'Disability $ details 05-06'!B27</f>
        <v>375.32</v>
      </c>
      <c r="C27" s="9">
        <f>'CAN Dis $ details 08-09'!B27</f>
        <v>419.70500000000004</v>
      </c>
      <c r="D27" s="6"/>
      <c r="E27" s="102">
        <f>'CAN Disability details 09-10'!B27</f>
        <v>441.65000000000003</v>
      </c>
      <c r="F27" s="113">
        <f>(E27-B27)/B27</f>
        <v>0.17672919109026974</v>
      </c>
      <c r="G27" s="2"/>
    </row>
    <row r="28" spans="1:7">
      <c r="A28" s="3" t="s">
        <v>233</v>
      </c>
      <c r="B28" s="21">
        <f>SUM(B26:B27)</f>
        <v>5957.2500000000009</v>
      </c>
      <c r="C28" s="21">
        <f>SUM(C26:C27)</f>
        <v>6682.6462500000016</v>
      </c>
      <c r="D28" s="57">
        <f>(C28-B28)/B28</f>
        <v>0.12176696462293854</v>
      </c>
      <c r="E28" s="112">
        <f>SUM(E26:E27)</f>
        <v>7371.9925000000003</v>
      </c>
      <c r="F28" s="113">
        <f>(E28-B28)/B28</f>
        <v>0.23748247933190636</v>
      </c>
      <c r="G28" s="2"/>
    </row>
    <row r="29" spans="1:7">
      <c r="B29" s="9"/>
      <c r="C29" s="9"/>
      <c r="D29" s="6"/>
      <c r="E29" s="9"/>
      <c r="F29" s="57"/>
    </row>
    <row r="30" spans="1:7">
      <c r="A30" s="2" t="s">
        <v>13</v>
      </c>
      <c r="B30" s="9"/>
      <c r="C30" s="9"/>
      <c r="D30" s="6"/>
      <c r="E30" s="9"/>
      <c r="F30" s="57"/>
    </row>
    <row r="31" spans="1:7">
      <c r="A31" t="s">
        <v>7</v>
      </c>
      <c r="B31" s="25">
        <f>'Disability $ details 05-06'!B31</f>
        <v>4729.1000000000004</v>
      </c>
      <c r="C31" s="9">
        <f>'CAN Dis $ details 08-09'!B31</f>
        <v>5190.8</v>
      </c>
      <c r="D31" s="6"/>
      <c r="E31" s="9">
        <f>'CAN Disability details 09-10'!B31</f>
        <v>5281.7</v>
      </c>
      <c r="F31" s="57">
        <f>(E31-B31)/B31</f>
        <v>0.11685098644562378</v>
      </c>
      <c r="G31" s="2" t="s">
        <v>349</v>
      </c>
    </row>
    <row r="32" spans="1:7">
      <c r="B32" s="9"/>
      <c r="C32" s="9"/>
      <c r="D32" s="6"/>
      <c r="E32" s="9"/>
      <c r="F32" s="57"/>
      <c r="G32" s="2"/>
    </row>
    <row r="33" spans="1:9">
      <c r="A33" t="s">
        <v>8</v>
      </c>
      <c r="B33" s="9">
        <f>'Disability $ details 05-06'!B33</f>
        <v>107.7</v>
      </c>
      <c r="C33" s="9">
        <f>'CAN Dis $ details 08-09'!B33</f>
        <v>177.6</v>
      </c>
      <c r="D33" s="6"/>
      <c r="E33" s="9">
        <f>'CAN Disability details 09-10'!B33</f>
        <v>188.5</v>
      </c>
      <c r="F33" s="57"/>
    </row>
    <row r="34" spans="1:9">
      <c r="A34" s="3" t="s">
        <v>63</v>
      </c>
      <c r="B34" s="21">
        <f>SUM(B31:B33)</f>
        <v>4836.8</v>
      </c>
      <c r="C34" s="21">
        <f>SUM(C31:C33)</f>
        <v>5368.4000000000005</v>
      </c>
      <c r="D34" s="57">
        <f>(C34-B34)/B34</f>
        <v>0.10990737677803514</v>
      </c>
      <c r="E34" s="21">
        <f>SUM(E31:E33)</f>
        <v>5470.2</v>
      </c>
      <c r="F34" s="57">
        <f>(E34-B34)/B34</f>
        <v>0.13095434998346006</v>
      </c>
      <c r="G34" s="33"/>
      <c r="H34" s="33"/>
      <c r="I34" s="33"/>
    </row>
    <row r="35" spans="1:9">
      <c r="A35" s="3"/>
      <c r="B35" s="21"/>
      <c r="C35" s="21"/>
      <c r="D35" s="57"/>
      <c r="E35" s="21"/>
      <c r="F35" s="57"/>
      <c r="G35" s="33"/>
      <c r="H35" s="33"/>
      <c r="I35" s="33"/>
    </row>
    <row r="36" spans="1:9">
      <c r="A36" s="2" t="s">
        <v>64</v>
      </c>
      <c r="B36" s="9"/>
      <c r="C36" s="9"/>
      <c r="D36" s="6"/>
      <c r="E36" s="9"/>
      <c r="F36" s="57"/>
    </row>
    <row r="37" spans="1:9">
      <c r="A37" t="s">
        <v>9</v>
      </c>
      <c r="B37" s="9">
        <f>'Disability $ details 05-06'!B36</f>
        <v>956</v>
      </c>
      <c r="C37" s="9">
        <f>'CAN Dis $ details 08-09'!B37</f>
        <v>1189</v>
      </c>
      <c r="D37" s="6"/>
      <c r="E37" s="9">
        <f>'CAN Disability details 09-10'!B37</f>
        <v>1124</v>
      </c>
      <c r="F37" s="57"/>
    </row>
    <row r="38" spans="1:9">
      <c r="A38" t="s">
        <v>10</v>
      </c>
      <c r="B38" s="9">
        <f>'Disability $ details 05-06'!B37</f>
        <v>3493</v>
      </c>
      <c r="C38" s="9">
        <f>'CAN Dis $ details 08-09'!B38</f>
        <v>4141</v>
      </c>
      <c r="D38" s="6"/>
      <c r="E38" s="9">
        <f>'CAN Disability details 09-10'!B38</f>
        <v>4368</v>
      </c>
      <c r="F38" s="57"/>
    </row>
    <row r="39" spans="1:9">
      <c r="A39" s="3" t="s">
        <v>180</v>
      </c>
      <c r="B39" s="21">
        <f>SUM(B37:B38)</f>
        <v>4449</v>
      </c>
      <c r="C39" s="21">
        <f>SUM(C37:C38)</f>
        <v>5330</v>
      </c>
      <c r="D39" s="57">
        <f>(C39-B39)/B39</f>
        <v>0.19802202742189257</v>
      </c>
      <c r="E39" s="21">
        <f>SUM(E37:E38)</f>
        <v>5492</v>
      </c>
      <c r="F39" s="57">
        <f>(E39-B39)/B39</f>
        <v>0.23443470442796133</v>
      </c>
    </row>
    <row r="40" spans="1:9">
      <c r="B40" s="9"/>
      <c r="C40" s="9"/>
      <c r="D40" s="6"/>
      <c r="E40" s="9"/>
      <c r="F40" s="57"/>
    </row>
    <row r="41" spans="1:9" ht="15.75">
      <c r="A41" s="4" t="s">
        <v>234</v>
      </c>
      <c r="B41" s="17">
        <f>SUM(B13+B19+B23+B28+B34+B39)</f>
        <v>23248.05</v>
      </c>
      <c r="C41" s="139">
        <f>SUM(C13+C19+C23+C28+C34+C39)</f>
        <v>26417.646250000002</v>
      </c>
      <c r="D41" s="57">
        <f>(C41-B41)/B41</f>
        <v>0.13633815524312803</v>
      </c>
      <c r="E41" s="28">
        <f>SUM(E13+E19+E23+E28+E34+E39)</f>
        <v>27750.4925</v>
      </c>
      <c r="F41" s="113">
        <f>(E41-B41)/B41</f>
        <v>0.19366968412404487</v>
      </c>
      <c r="G41" s="2"/>
    </row>
    <row r="42" spans="1:9">
      <c r="E42" s="9"/>
    </row>
    <row r="43" spans="1:9" ht="31.5">
      <c r="A43" s="100" t="s">
        <v>235</v>
      </c>
      <c r="B43" s="117">
        <f>B41-B28</f>
        <v>17290.8</v>
      </c>
      <c r="C43" s="147">
        <f>C41-C28</f>
        <v>19735</v>
      </c>
      <c r="D43" s="118">
        <f>(C43-B43)/B43</f>
        <v>0.14135841025285129</v>
      </c>
      <c r="E43" s="147">
        <f>E41-E28</f>
        <v>20378.5</v>
      </c>
      <c r="F43" s="148">
        <f>(E43-B43)/B43</f>
        <v>0.1785747333842275</v>
      </c>
    </row>
    <row r="46" spans="1:9">
      <c r="A46" s="107" t="s">
        <v>348</v>
      </c>
    </row>
    <row r="47" spans="1:9">
      <c r="A47" s="52" t="s">
        <v>319</v>
      </c>
      <c r="B47" s="21"/>
      <c r="C47" s="21"/>
      <c r="D47" s="57"/>
      <c r="E47" s="21"/>
      <c r="F47" s="57"/>
    </row>
    <row r="48" spans="1:9">
      <c r="B48" s="9"/>
      <c r="C48" s="9"/>
      <c r="D48" s="6"/>
      <c r="E48" s="9"/>
      <c r="F48" s="57"/>
    </row>
    <row r="49" spans="2:6">
      <c r="B49" s="9"/>
      <c r="C49" s="9"/>
      <c r="D49" s="6"/>
      <c r="E49" s="9"/>
      <c r="F49" s="57"/>
    </row>
    <row r="50" spans="2:6">
      <c r="B50" s="9"/>
      <c r="C50" s="9"/>
      <c r="D50" s="6"/>
      <c r="E50" s="9"/>
      <c r="F50" s="57"/>
    </row>
  </sheetData>
  <pageMargins left="0.70866141732283472" right="0.70866141732283472" top="0.74803149606299213" bottom="0.74803149606299213" header="0.31496062992125984" footer="0.31496062992125984"/>
  <pageSetup scale="56" orientation="portrait" verticalDpi="0" r:id="rId1"/>
</worksheet>
</file>

<file path=xl/worksheets/sheet11.xml><?xml version="1.0" encoding="utf-8"?>
<worksheet xmlns="http://schemas.openxmlformats.org/spreadsheetml/2006/main" xmlns:r="http://schemas.openxmlformats.org/officeDocument/2006/relationships">
  <sheetPr>
    <tabColor rgb="FFFF0000"/>
  </sheetPr>
  <dimension ref="A1:V72"/>
  <sheetViews>
    <sheetView workbookViewId="0">
      <selection activeCell="M20" sqref="M20"/>
    </sheetView>
  </sheetViews>
  <sheetFormatPr defaultRowHeight="12.75"/>
  <cols>
    <col min="1" max="1" width="35.7109375" customWidth="1"/>
    <col min="2" max="4" width="12.7109375" customWidth="1"/>
    <col min="6" max="6" width="10.28515625" bestFit="1" customWidth="1"/>
    <col min="8" max="8" width="10.28515625" bestFit="1" customWidth="1"/>
    <col min="9" max="13" width="10.28515625" customWidth="1"/>
    <col min="20" max="20" width="10.28515625" bestFit="1" customWidth="1"/>
  </cols>
  <sheetData>
    <row r="1" spans="1:20">
      <c r="Q1" s="1" t="s">
        <v>376</v>
      </c>
    </row>
    <row r="2" spans="1:20">
      <c r="B2" s="1" t="s">
        <v>58</v>
      </c>
      <c r="C2" s="1" t="s">
        <v>104</v>
      </c>
      <c r="D2" s="1" t="s">
        <v>181</v>
      </c>
      <c r="F2" s="1" t="s">
        <v>514</v>
      </c>
      <c r="H2" s="245" t="s">
        <v>689</v>
      </c>
      <c r="I2" s="289"/>
      <c r="J2" s="289" t="s">
        <v>823</v>
      </c>
      <c r="K2" s="289"/>
      <c r="L2" s="289" t="s">
        <v>824</v>
      </c>
      <c r="M2" s="289"/>
    </row>
    <row r="3" spans="1:20">
      <c r="B3" s="1" t="s">
        <v>16</v>
      </c>
      <c r="C3" s="1" t="s">
        <v>16</v>
      </c>
      <c r="D3" s="1" t="s">
        <v>16</v>
      </c>
      <c r="F3" s="1" t="s">
        <v>16</v>
      </c>
      <c r="H3" s="245" t="s">
        <v>16</v>
      </c>
      <c r="I3" s="289"/>
      <c r="J3" s="289" t="s">
        <v>16</v>
      </c>
      <c r="K3" s="289"/>
      <c r="L3" s="289" t="s">
        <v>16</v>
      </c>
      <c r="M3" s="289"/>
      <c r="P3" s="1" t="s">
        <v>58</v>
      </c>
      <c r="Q3" s="1" t="s">
        <v>104</v>
      </c>
      <c r="R3" s="1" t="s">
        <v>181</v>
      </c>
      <c r="S3" s="1" t="s">
        <v>514</v>
      </c>
      <c r="T3" s="245" t="s">
        <v>689</v>
      </c>
    </row>
    <row r="4" spans="1:20">
      <c r="A4" s="2" t="s">
        <v>11</v>
      </c>
    </row>
    <row r="6" spans="1:20">
      <c r="A6" t="s">
        <v>0</v>
      </c>
      <c r="B6" s="9">
        <f>'CAN input to 09-10 charts'!B6</f>
        <v>540</v>
      </c>
      <c r="C6" s="9">
        <f>'CAN input to 09-10 charts'!C6</f>
        <v>635</v>
      </c>
      <c r="D6" s="9">
        <f>'CAN input to 09-10 charts'!E6</f>
        <v>620</v>
      </c>
      <c r="F6" s="9">
        <f>'CAN Disability details 10-11'!B6</f>
        <v>650</v>
      </c>
      <c r="H6" s="9">
        <f>'CAN Disability details 11-12'!B6</f>
        <v>675</v>
      </c>
      <c r="I6" s="9"/>
      <c r="J6" s="9">
        <f>'CAN Disability details 12-13'!B6</f>
        <v>690</v>
      </c>
      <c r="K6" s="9"/>
      <c r="L6" s="9">
        <f>'CAN Disability detailes 13-14'!B6</f>
        <v>720</v>
      </c>
      <c r="M6" s="9"/>
    </row>
    <row r="7" spans="1:20">
      <c r="A7" t="s">
        <v>1</v>
      </c>
      <c r="B7" s="9">
        <f>'CAN input to 09-10 charts'!B7</f>
        <v>875</v>
      </c>
      <c r="C7" s="9">
        <f>'CAN input to 09-10 charts'!C7</f>
        <v>995</v>
      </c>
      <c r="D7" s="9">
        <f>'CAN input to 09-10 charts'!E7</f>
        <v>1000</v>
      </c>
      <c r="F7" s="9">
        <f>'CAN Disability details 10-11'!B7</f>
        <v>1080</v>
      </c>
      <c r="H7" s="9">
        <f>'CAN Disability details 11-12'!B7</f>
        <v>1135</v>
      </c>
      <c r="I7" s="9"/>
      <c r="J7" s="9">
        <f>'CAN Disability details 12-13'!B7</f>
        <v>1200</v>
      </c>
      <c r="K7" s="9"/>
      <c r="L7" s="9">
        <f>'CAN Disability detailes 13-14'!B7</f>
        <v>1295</v>
      </c>
      <c r="M7" s="9"/>
    </row>
    <row r="8" spans="1:20">
      <c r="A8" t="s">
        <v>14</v>
      </c>
      <c r="B8" s="9">
        <f>'CAN input to 09-10 charts'!B8</f>
        <v>85</v>
      </c>
      <c r="C8" s="9">
        <f>'CAN input to 09-10 charts'!C8</f>
        <v>90</v>
      </c>
      <c r="D8" s="9">
        <f>'CAN input to 09-10 charts'!E8</f>
        <v>97</v>
      </c>
      <c r="F8" s="9">
        <f>'CAN Disability details 10-11'!B8</f>
        <v>100</v>
      </c>
      <c r="H8" s="9">
        <f>'CAN Disability details 11-12'!B8</f>
        <v>105</v>
      </c>
      <c r="I8" s="9"/>
      <c r="J8" s="9">
        <f>'CAN Disability details 12-13'!B8</f>
        <v>105</v>
      </c>
      <c r="K8" s="9"/>
      <c r="L8" s="9">
        <f>'CAN Disability detailes 13-14'!B8</f>
        <v>110</v>
      </c>
      <c r="M8" s="9"/>
    </row>
    <row r="9" spans="1:20">
      <c r="A9" t="s">
        <v>2</v>
      </c>
      <c r="B9" s="9">
        <f>'CAN input to 09-10 charts'!B9</f>
        <v>5</v>
      </c>
      <c r="C9" s="9">
        <f>'CAN input to 09-10 charts'!C9</f>
        <v>5</v>
      </c>
      <c r="D9" s="9">
        <f>'CAN input to 09-10 charts'!E9</f>
        <v>5</v>
      </c>
      <c r="F9" s="9">
        <f>'CAN Disability details 10-11'!B9</f>
        <v>5</v>
      </c>
      <c r="H9" s="9">
        <f>'CAN Disability details 11-12'!B9</f>
        <v>5</v>
      </c>
      <c r="I9" s="9"/>
      <c r="J9" s="9">
        <f>'CAN Disability details 12-13'!B9</f>
        <v>5</v>
      </c>
      <c r="K9" s="9"/>
      <c r="L9" s="9">
        <f>'CAN Disability detailes 13-14'!B9</f>
        <v>6</v>
      </c>
      <c r="M9" s="9"/>
    </row>
    <row r="10" spans="1:20">
      <c r="A10" t="s">
        <v>68</v>
      </c>
      <c r="B10" s="9">
        <f>'CAN input to 09-10 charts'!B10</f>
        <v>0</v>
      </c>
      <c r="C10" s="9">
        <f>'CAN input to 09-10 charts'!C10</f>
        <v>0</v>
      </c>
      <c r="D10" s="9">
        <f>'CAN input to 09-10 charts'!E10</f>
        <v>0</v>
      </c>
      <c r="F10" s="9">
        <f>'CAN Disability details 10-11'!B10</f>
        <v>0</v>
      </c>
      <c r="H10" s="9">
        <f>'CAN Disability details 11-12'!B10</f>
        <v>0</v>
      </c>
      <c r="I10" s="9"/>
      <c r="J10" s="9">
        <f>'CAN Disability details 12-13'!B10</f>
        <v>0</v>
      </c>
      <c r="K10" s="9"/>
      <c r="L10" s="9">
        <f>'CAN Disability detailes 13-14'!B10</f>
        <v>0</v>
      </c>
      <c r="M10" s="9"/>
    </row>
    <row r="11" spans="1:20">
      <c r="A11" t="s">
        <v>3</v>
      </c>
      <c r="B11" s="9">
        <f>'CAN input to 09-10 charts'!B11</f>
        <v>115</v>
      </c>
      <c r="C11" s="9">
        <f>'CAN input to 09-10 charts'!C11</f>
        <v>120</v>
      </c>
      <c r="D11" s="9">
        <f>'CAN input to 09-10 charts'!E11</f>
        <v>130</v>
      </c>
      <c r="F11" s="9">
        <f>'CAN Disability details 10-11'!B11</f>
        <v>135</v>
      </c>
      <c r="H11" s="9">
        <f>'CAN Disability details 11-12'!B11</f>
        <v>135</v>
      </c>
      <c r="I11" s="9"/>
      <c r="J11" s="9">
        <f>'CAN Disability details 12-13'!B11</f>
        <v>140</v>
      </c>
      <c r="K11" s="9"/>
      <c r="L11" s="9">
        <f>'CAN Disability detailes 13-14'!B11</f>
        <v>145</v>
      </c>
      <c r="M11" s="9"/>
    </row>
    <row r="12" spans="1:20">
      <c r="A12" t="s">
        <v>15</v>
      </c>
      <c r="B12" s="9">
        <f>'CAN input to 09-10 charts'!B12</f>
        <v>90</v>
      </c>
      <c r="C12" s="9">
        <f>'CAN input to 09-10 charts'!C12</f>
        <v>160.9</v>
      </c>
      <c r="D12" s="9">
        <f>'CAN input to 09-10 charts'!E12</f>
        <v>196.5</v>
      </c>
      <c r="F12" s="9">
        <f>'CAN Disability details 10-11'!B12</f>
        <v>220.4</v>
      </c>
      <c r="H12" s="9">
        <f>'CAN Disability details 11-12'!B12</f>
        <v>253.45999999999998</v>
      </c>
      <c r="I12" s="9"/>
      <c r="J12" s="9">
        <f>'CAN Disability details 12-13'!B12</f>
        <v>264.48</v>
      </c>
      <c r="K12" s="9"/>
      <c r="L12" s="9">
        <f>'CAN Disability detailes 13-14'!B12</f>
        <v>245.625</v>
      </c>
      <c r="M12" s="9"/>
    </row>
    <row r="13" spans="1:20">
      <c r="A13" s="3" t="s">
        <v>24</v>
      </c>
      <c r="B13" s="21">
        <f>SUM(B6:B12)</f>
        <v>1710</v>
      </c>
      <c r="C13" s="21">
        <f>SUM(C6:C12)</f>
        <v>2005.9</v>
      </c>
      <c r="D13" s="21">
        <f>SUM(D6:D12)</f>
        <v>2048.5</v>
      </c>
      <c r="F13" s="21">
        <f>SUM(F6:F12)</f>
        <v>2190.4</v>
      </c>
      <c r="H13" s="21">
        <f>SUM(H6:H12)</f>
        <v>2308.46</v>
      </c>
      <c r="I13" s="21"/>
      <c r="J13" s="21">
        <f>SUM(J6:J12)</f>
        <v>2404.48</v>
      </c>
      <c r="K13" s="21"/>
      <c r="L13" s="21">
        <f>SUM(L6:L12)</f>
        <v>2521.625</v>
      </c>
      <c r="M13" s="21"/>
      <c r="P13" s="29">
        <f>B13/B39</f>
        <v>7.3554556188583559E-2</v>
      </c>
      <c r="Q13" s="29">
        <f>C13/C39</f>
        <v>7.5930307379295764E-2</v>
      </c>
      <c r="R13" s="29">
        <f>D13/D39</f>
        <v>7.3818509707530414E-2</v>
      </c>
      <c r="S13" s="29">
        <f>F13/F39</f>
        <v>7.6485355515780909E-2</v>
      </c>
      <c r="T13" s="29">
        <f>H13/$H$39</f>
        <v>7.816084436803207E-2</v>
      </c>
    </row>
    <row r="14" spans="1:20">
      <c r="B14" s="9"/>
      <c r="C14" s="9"/>
      <c r="D14" s="9"/>
      <c r="F14" s="9"/>
      <c r="H14" s="9"/>
      <c r="I14" s="9"/>
      <c r="J14" s="9"/>
      <c r="K14" s="9"/>
      <c r="L14" s="9"/>
      <c r="M14" s="9"/>
      <c r="P14" s="29"/>
      <c r="Q14" s="29"/>
      <c r="R14" s="29"/>
      <c r="T14" s="29"/>
    </row>
    <row r="15" spans="1:20">
      <c r="A15" s="2" t="s">
        <v>4</v>
      </c>
      <c r="B15" s="9"/>
      <c r="C15" s="9"/>
      <c r="D15" s="9"/>
      <c r="F15" s="9"/>
      <c r="H15" s="9"/>
      <c r="I15" s="9"/>
      <c r="J15" s="9"/>
      <c r="K15" s="9"/>
      <c r="L15" s="9"/>
      <c r="M15" s="9"/>
      <c r="P15" s="29"/>
      <c r="Q15" s="29"/>
      <c r="R15" s="29"/>
      <c r="T15" s="29"/>
    </row>
    <row r="16" spans="1:20">
      <c r="A16" t="s">
        <v>5</v>
      </c>
      <c r="B16" s="9">
        <f>'CAN input to 09-10 charts'!B16</f>
        <v>3127</v>
      </c>
      <c r="C16" s="9">
        <f>'CAN input to 09-10 charts'!C16</f>
        <v>3326</v>
      </c>
      <c r="D16" s="9">
        <f>'CAN input to 09-10 charts'!E16</f>
        <v>3513</v>
      </c>
      <c r="F16" s="9">
        <f>'CAN Disability details 10-11'!B16</f>
        <v>3679</v>
      </c>
      <c r="H16" s="9">
        <f>'CAN Disability details 11-12'!B16</f>
        <v>3888</v>
      </c>
      <c r="I16" s="9"/>
      <c r="J16" s="9">
        <f>'CAN Disability details 12-13'!B16</f>
        <v>3948</v>
      </c>
      <c r="K16" s="9"/>
      <c r="L16" s="9">
        <f>'CAN Disability detailes 13-14'!B16</f>
        <v>4002</v>
      </c>
      <c r="M16" s="9"/>
      <c r="P16" s="29"/>
      <c r="Q16" s="29"/>
      <c r="R16" s="29"/>
      <c r="T16" s="29"/>
    </row>
    <row r="17" spans="1:20">
      <c r="A17" t="s">
        <v>69</v>
      </c>
      <c r="B17" s="9">
        <f>'CAN input to 09-10 charts'!B17</f>
        <v>652.79999999999995</v>
      </c>
      <c r="C17" s="9">
        <f>'CAN input to 09-10 charts'!C17</f>
        <v>722</v>
      </c>
      <c r="D17" s="9">
        <f>'CAN input to 09-10 charts'!E17</f>
        <v>749.4</v>
      </c>
      <c r="F17" s="9">
        <f>'CAN Disability details 10-11'!B17</f>
        <v>756</v>
      </c>
      <c r="H17" s="9">
        <f>'CAN Disability details 11-12'!B17</f>
        <v>755.4</v>
      </c>
      <c r="I17" s="9"/>
      <c r="J17" s="9">
        <f>'CAN Disability details 12-13'!B17</f>
        <v>779.1</v>
      </c>
      <c r="K17" s="9"/>
      <c r="L17" s="9">
        <f>'CAN Disability detailes 13-14'!B17</f>
        <v>764.8</v>
      </c>
      <c r="M17" s="9"/>
      <c r="P17" s="29">
        <f>(B16+B17)/B39</f>
        <v>0.16258567922901063</v>
      </c>
      <c r="Q17" s="29">
        <f>(C16+C17)/C39</f>
        <v>0.15323091094839683</v>
      </c>
      <c r="R17" s="29">
        <f>(D16+D17)/D39</f>
        <v>0.15359727399432641</v>
      </c>
      <c r="S17" s="29">
        <f>(F16+F17)/F39</f>
        <v>0.15486329059189571</v>
      </c>
      <c r="T17" s="29">
        <f>(H16+H17)/$H$39</f>
        <v>0.15721826011216139</v>
      </c>
    </row>
    <row r="18" spans="1:20">
      <c r="A18" t="s">
        <v>6</v>
      </c>
      <c r="B18" s="9">
        <f>'CAN input to 09-10 charts'!B18</f>
        <v>859.2</v>
      </c>
      <c r="C18" s="102">
        <f>'CAN input to 09-10 charts'!C18</f>
        <v>1008.8</v>
      </c>
      <c r="D18" s="102">
        <f>'CAN input to 09-10 charts'!E18</f>
        <v>1075.2</v>
      </c>
      <c r="F18" s="9">
        <f>'CAN Disability details 10-11'!B18</f>
        <v>1066</v>
      </c>
      <c r="H18" s="9">
        <f>'CAN Disability details 11-12'!B18</f>
        <v>1117.3</v>
      </c>
      <c r="I18" s="9"/>
      <c r="J18" s="9">
        <f>'CAN Disability details 12-13'!B18</f>
        <v>1191</v>
      </c>
      <c r="K18" s="9"/>
      <c r="L18" s="9">
        <f>'CAN Disability detailes 13-14'!B18</f>
        <v>1276.8</v>
      </c>
      <c r="M18" s="9"/>
      <c r="P18" s="29">
        <f>B18/B39</f>
        <v>3.6957938407737423E-2</v>
      </c>
      <c r="Q18" s="29">
        <f>C18/C39</f>
        <v>3.8186596582199292E-2</v>
      </c>
      <c r="R18" s="29">
        <f>D18/D39</f>
        <v>3.874525830487513E-2</v>
      </c>
      <c r="S18" s="29">
        <f>F18/F39</f>
        <v>3.7223059249371096E-2</v>
      </c>
      <c r="T18" s="29">
        <f>H18/$H$39</f>
        <v>3.7830030155342621E-2</v>
      </c>
    </row>
    <row r="19" spans="1:20">
      <c r="A19" s="3" t="s">
        <v>24</v>
      </c>
      <c r="B19" s="21">
        <f>SUM(B16:B18)</f>
        <v>4639</v>
      </c>
      <c r="C19" s="112">
        <f>SUM(C16:C18)</f>
        <v>5056.8</v>
      </c>
      <c r="D19" s="112">
        <f>SUM(D16:D18)</f>
        <v>5337.5999999999995</v>
      </c>
      <c r="F19" s="21">
        <f>SUM(F16:F18)</f>
        <v>5501</v>
      </c>
      <c r="H19" s="21">
        <f>SUM(H16:H18)</f>
        <v>5760.7</v>
      </c>
      <c r="I19" s="21"/>
      <c r="J19" s="21">
        <f>SUM(J16:J18)</f>
        <v>5918.1</v>
      </c>
      <c r="K19" s="21"/>
      <c r="L19" s="21">
        <f>SUM(L16:L18)</f>
        <v>6043.6</v>
      </c>
      <c r="M19" s="21"/>
      <c r="P19" s="29"/>
      <c r="Q19" s="29"/>
      <c r="R19" s="29"/>
      <c r="T19" s="29"/>
    </row>
    <row r="20" spans="1:20">
      <c r="B20" s="9"/>
      <c r="C20" s="9"/>
      <c r="D20" s="9"/>
      <c r="F20" s="9"/>
      <c r="H20" s="9"/>
      <c r="I20" s="9"/>
      <c r="J20" s="9"/>
      <c r="K20" s="9"/>
      <c r="L20" s="9"/>
      <c r="M20" s="9"/>
      <c r="P20" s="29"/>
      <c r="Q20" s="29"/>
      <c r="R20" s="29"/>
      <c r="T20" s="29"/>
    </row>
    <row r="21" spans="1:20">
      <c r="A21" s="2" t="s">
        <v>99</v>
      </c>
      <c r="B21" s="9"/>
      <c r="C21" s="9"/>
      <c r="D21" s="9"/>
      <c r="F21" s="9"/>
      <c r="H21" s="9"/>
      <c r="I21" s="9"/>
      <c r="J21" s="9"/>
      <c r="K21" s="9"/>
      <c r="L21" s="9"/>
      <c r="M21" s="9"/>
      <c r="P21" s="29"/>
      <c r="Q21" s="29"/>
      <c r="R21" s="29"/>
      <c r="T21" s="29"/>
    </row>
    <row r="22" spans="1:20">
      <c r="A22" t="s">
        <v>101</v>
      </c>
      <c r="B22" s="9">
        <f>'CAN input to 09-10 charts'!B22</f>
        <v>1656</v>
      </c>
      <c r="C22" s="9">
        <f>'CAN input to 09-10 charts'!C22</f>
        <v>1973.9</v>
      </c>
      <c r="D22" s="9">
        <f>'CAN input to 09-10 charts'!E22</f>
        <v>2030.2</v>
      </c>
      <c r="F22" s="9">
        <f>'CAN Disability details 10-11'!B22</f>
        <v>2117.7999999999997</v>
      </c>
      <c r="H22" s="9">
        <f>'CAN Disability details 11-12'!B24</f>
        <v>2054.6999999999998</v>
      </c>
      <c r="I22" s="9"/>
      <c r="J22" s="9">
        <f>'CAN Disability details 12-13'!B24</f>
        <v>2062.1999999999998</v>
      </c>
      <c r="K22" s="9"/>
      <c r="L22" s="9">
        <f>'CAN Disability detailes 13-14'!B24</f>
        <v>2024.3000000000002</v>
      </c>
      <c r="M22" s="9"/>
      <c r="P22" s="29">
        <f>B22/B39</f>
        <v>7.123178072999671E-2</v>
      </c>
      <c r="Q22" s="29">
        <f>C22/C39</f>
        <v>7.4718995830296578E-2</v>
      </c>
      <c r="R22" s="29">
        <f>D22/D39</f>
        <v>7.3159061951783386E-2</v>
      </c>
      <c r="S22" s="29">
        <f>F22/F39</f>
        <v>7.3950276621311539E-2</v>
      </c>
      <c r="T22" s="29">
        <f>H22/$H$39</f>
        <v>6.9568927736670977E-2</v>
      </c>
    </row>
    <row r="23" spans="1:20">
      <c r="A23" s="3" t="s">
        <v>24</v>
      </c>
      <c r="B23" s="21">
        <f>SUM(B22:B22)</f>
        <v>1656</v>
      </c>
      <c r="C23" s="21">
        <f>SUM(C22:C22)</f>
        <v>1973.9</v>
      </c>
      <c r="D23" s="21">
        <f>SUM(D22:D22)</f>
        <v>2030.2</v>
      </c>
      <c r="F23" s="21">
        <f>SUM(F22)</f>
        <v>2117.7999999999997</v>
      </c>
      <c r="H23" s="21">
        <f>SUM(H22)</f>
        <v>2054.6999999999998</v>
      </c>
      <c r="I23" s="21"/>
      <c r="J23" s="21">
        <f>SUM(J22)</f>
        <v>2062.1999999999998</v>
      </c>
      <c r="K23" s="21"/>
      <c r="L23" s="21">
        <f>SUM(L22)</f>
        <v>2024.3000000000002</v>
      </c>
      <c r="M23" s="21"/>
      <c r="P23" s="29"/>
      <c r="Q23" s="29"/>
      <c r="R23" s="29"/>
      <c r="T23" s="29"/>
    </row>
    <row r="24" spans="1:20">
      <c r="B24" s="9"/>
      <c r="C24" s="9"/>
      <c r="D24" s="9"/>
      <c r="F24" s="9"/>
      <c r="H24" s="9"/>
      <c r="I24" s="9"/>
      <c r="J24" s="9"/>
      <c r="K24" s="9"/>
      <c r="L24" s="9"/>
      <c r="M24" s="9"/>
      <c r="P24" s="29"/>
      <c r="Q24" s="29"/>
      <c r="R24" s="29"/>
      <c r="T24" s="29"/>
    </row>
    <row r="25" spans="1:20">
      <c r="A25" s="2" t="s">
        <v>18</v>
      </c>
      <c r="B25" s="9"/>
      <c r="C25" s="9"/>
      <c r="D25" s="9"/>
      <c r="F25" s="9"/>
      <c r="H25" s="9"/>
      <c r="I25" s="9"/>
      <c r="J25" s="9"/>
      <c r="K25" s="9"/>
      <c r="L25" s="9"/>
      <c r="M25" s="9"/>
      <c r="P25" s="29"/>
      <c r="Q25" s="29"/>
      <c r="R25" s="29"/>
      <c r="T25" s="29"/>
    </row>
    <row r="26" spans="1:20">
      <c r="A26" t="s">
        <v>17</v>
      </c>
      <c r="B26" s="45">
        <f>'CAN input to 09-10 charts'!B26</f>
        <v>5581.9300000000012</v>
      </c>
      <c r="C26" s="45">
        <f>'CAN input to 09-10 charts'!C26</f>
        <v>6262.9412500000017</v>
      </c>
      <c r="D26" s="45">
        <f>'CAN input to 09-10 charts'!E26</f>
        <v>6930.3425000000007</v>
      </c>
      <c r="E26" s="39"/>
      <c r="F26" s="45">
        <f>'CAN Disability details 10-11'!B26</f>
        <v>7306.0619753086439</v>
      </c>
      <c r="H26" s="9">
        <f>'CAN Disability details 11-12'!B27</f>
        <v>7552.6472289156618</v>
      </c>
      <c r="I26" s="9"/>
      <c r="J26" s="9">
        <f>'CAN Disability details 12-13'!B27</f>
        <v>8204.9533986013994</v>
      </c>
      <c r="K26" s="9"/>
      <c r="L26" s="9">
        <f>'CAN Disability detailes 13-14'!B27</f>
        <v>8504.1418577878103</v>
      </c>
      <c r="M26" s="9"/>
      <c r="P26" s="29">
        <f>B26/B39</f>
        <v>0.24010314843610545</v>
      </c>
      <c r="Q26" s="29">
        <f>C26/C39</f>
        <v>0.23707415833838721</v>
      </c>
      <c r="R26" s="29">
        <f>D26/D39</f>
        <v>0.24973763979143795</v>
      </c>
      <c r="S26" s="29">
        <f>F26/F39</f>
        <v>0.25511630186349987</v>
      </c>
      <c r="T26" s="29">
        <f>H26/$H$39</f>
        <v>0.25572082021171072</v>
      </c>
    </row>
    <row r="27" spans="1:20">
      <c r="A27" t="s">
        <v>12</v>
      </c>
      <c r="B27" s="9">
        <f>'CAN input to 09-10 charts'!B27</f>
        <v>375.32</v>
      </c>
      <c r="C27" s="9">
        <f>'CAN input to 09-10 charts'!C27</f>
        <v>419.70500000000004</v>
      </c>
      <c r="D27" s="102">
        <f>'CAN input to 09-10 charts'!E27</f>
        <v>441.65000000000003</v>
      </c>
      <c r="F27" s="9">
        <f>'CAN Disability details 10-11'!B27</f>
        <v>451.00000000000006</v>
      </c>
      <c r="H27" s="9">
        <f>'CAN Disability details 11-12'!B28</f>
        <v>461.23000000000008</v>
      </c>
      <c r="I27" s="9"/>
      <c r="J27" s="9">
        <f>'CAN Disability details 12-13'!B28</f>
        <v>490.65599999999995</v>
      </c>
      <c r="K27" s="9"/>
      <c r="L27" s="9">
        <f>'CAN Disability detailes 13-14'!B28</f>
        <v>520.5687999999999</v>
      </c>
      <c r="M27" s="9"/>
      <c r="P27" s="29">
        <f>B27/B39</f>
        <v>1.6144149724385486E-2</v>
      </c>
      <c r="Q27" s="29">
        <f>C27/C39</f>
        <v>1.5887297302271963E-2</v>
      </c>
      <c r="R27" s="29">
        <f>D27/D39</f>
        <v>1.591503285932673E-2</v>
      </c>
      <c r="S27" s="29">
        <f>F27/F39</f>
        <v>1.5748217374733926E-2</v>
      </c>
      <c r="T27" s="29">
        <f>H27/$H$39</f>
        <v>1.5616526276334629E-2</v>
      </c>
    </row>
    <row r="28" spans="1:20">
      <c r="A28" s="3" t="s">
        <v>24</v>
      </c>
      <c r="B28" s="104">
        <f>SUM(B26:B27)</f>
        <v>5957.2500000000009</v>
      </c>
      <c r="C28" s="104">
        <f>SUM(C26:C27)</f>
        <v>6682.6462500000016</v>
      </c>
      <c r="D28" s="104">
        <f>SUM(D26:D27)</f>
        <v>7371.9925000000003</v>
      </c>
      <c r="E28" s="39"/>
      <c r="F28" s="104">
        <f>SUM(F26:F27)</f>
        <v>7757.0619753086439</v>
      </c>
      <c r="G28" s="39"/>
      <c r="H28" s="104">
        <f>SUM(H26:H27)</f>
        <v>8013.8772289156623</v>
      </c>
      <c r="I28" s="104"/>
      <c r="J28" s="104">
        <f>SUM(J26:J27)</f>
        <v>8695.6093986013984</v>
      </c>
      <c r="K28" s="104"/>
      <c r="L28" s="104">
        <f>SUM(L26:L27)</f>
        <v>9024.7106577878094</v>
      </c>
      <c r="M28" s="104"/>
      <c r="P28" s="29">
        <f>B28/B39</f>
        <v>0.25624729816049091</v>
      </c>
      <c r="Q28" s="29">
        <f>C28/C39</f>
        <v>0.25296145564065919</v>
      </c>
      <c r="R28" s="29">
        <f>D28/D39</f>
        <v>0.2656526726507647</v>
      </c>
      <c r="S28" s="29">
        <f>F28/F39</f>
        <v>0.27086451923823385</v>
      </c>
      <c r="T28" s="29">
        <f>H28/$H$39</f>
        <v>0.27133734648804536</v>
      </c>
    </row>
    <row r="29" spans="1:20">
      <c r="B29" s="9"/>
      <c r="C29" s="9"/>
      <c r="D29" s="9"/>
      <c r="F29" s="9"/>
      <c r="H29" s="9"/>
      <c r="I29" s="9"/>
      <c r="J29" s="9"/>
      <c r="K29" s="9"/>
      <c r="L29" s="9"/>
      <c r="M29" s="9"/>
      <c r="P29" s="29"/>
      <c r="Q29" s="29"/>
      <c r="R29" s="29"/>
      <c r="T29" s="29"/>
    </row>
    <row r="30" spans="1:20">
      <c r="A30" s="2" t="s">
        <v>13</v>
      </c>
      <c r="B30" s="9"/>
      <c r="C30" s="9"/>
      <c r="D30" s="9"/>
      <c r="F30" s="9"/>
      <c r="H30" s="9"/>
      <c r="I30" s="9"/>
      <c r="J30" s="9"/>
      <c r="K30" s="9"/>
      <c r="L30" s="9"/>
      <c r="M30" s="9"/>
      <c r="P30" s="29"/>
      <c r="Q30" s="29"/>
      <c r="R30" s="29"/>
      <c r="T30" s="29"/>
    </row>
    <row r="31" spans="1:20">
      <c r="A31" t="s">
        <v>7</v>
      </c>
      <c r="B31" s="9">
        <f>'CAN input to 09-10 charts'!B31</f>
        <v>4729.1000000000004</v>
      </c>
      <c r="C31" s="9">
        <f>'CAN input to 09-10 charts'!C31</f>
        <v>5190.8</v>
      </c>
      <c r="D31" s="9">
        <f>'CAN input to 09-10 charts'!E31</f>
        <v>5281.7</v>
      </c>
      <c r="F31" s="9">
        <f>'CAN Disability details 10-11'!B31</f>
        <v>5207.8999999999996</v>
      </c>
      <c r="H31" s="9">
        <f>'CAN Disability details 11-12'!B32</f>
        <v>5338</v>
      </c>
      <c r="I31" s="9"/>
      <c r="J31" s="9">
        <f>'CAN Disability details 12-13'!B32</f>
        <v>5255.28</v>
      </c>
      <c r="K31" s="9"/>
      <c r="L31" s="9">
        <f>'CAN Disability detailes 13-14'!B32</f>
        <v>5210.1359999999995</v>
      </c>
      <c r="M31" s="9"/>
      <c r="P31" s="29"/>
      <c r="Q31" s="29"/>
      <c r="R31" s="29"/>
      <c r="T31" s="29"/>
    </row>
    <row r="32" spans="1:20">
      <c r="A32" t="s">
        <v>8</v>
      </c>
      <c r="B32" s="9">
        <f>'CAN input to 09-10 charts'!B33</f>
        <v>107.7</v>
      </c>
      <c r="C32" s="9">
        <f>'CAN input to 09-10 charts'!C33</f>
        <v>177.6</v>
      </c>
      <c r="D32" s="9">
        <f>'CAN input to 09-10 charts'!E33</f>
        <v>188.5</v>
      </c>
      <c r="F32" s="9">
        <f>'CAN Disability details 10-11'!B33</f>
        <v>190</v>
      </c>
      <c r="H32" s="9">
        <f>'CAN Disability details 11-12'!B34</f>
        <v>190</v>
      </c>
      <c r="I32" s="9"/>
      <c r="J32" s="9">
        <v>190</v>
      </c>
      <c r="K32" s="9"/>
      <c r="L32" s="9">
        <f>'CAN Disability detailes 13-14'!B34</f>
        <v>190</v>
      </c>
      <c r="M32" s="9"/>
      <c r="P32" s="29"/>
      <c r="Q32" s="29"/>
      <c r="R32" s="29"/>
      <c r="T32" s="29"/>
    </row>
    <row r="33" spans="1:22">
      <c r="A33" s="3" t="s">
        <v>57</v>
      </c>
      <c r="B33" s="21">
        <f>SUM(B31:B32)</f>
        <v>4836.8</v>
      </c>
      <c r="C33" s="21">
        <f>SUM(C31:C32)</f>
        <v>5368.4000000000005</v>
      </c>
      <c r="D33" s="21">
        <f>SUM(D31:D32)</f>
        <v>5470.2</v>
      </c>
      <c r="F33" s="21">
        <f>SUM(F31:F32)</f>
        <v>5397.9</v>
      </c>
      <c r="H33" s="21">
        <f>SUM(H31:H32)</f>
        <v>5528</v>
      </c>
      <c r="I33" s="21"/>
      <c r="J33" s="21">
        <f>SUM(J31:J32)</f>
        <v>5445.28</v>
      </c>
      <c r="K33" s="21"/>
      <c r="L33" s="21">
        <f>SUM(L31:L32)</f>
        <v>5400.1359999999995</v>
      </c>
      <c r="M33" s="21"/>
      <c r="P33" s="29">
        <f>B33/B39</f>
        <v>0.20805185811283097</v>
      </c>
      <c r="Q33" s="29">
        <f>C33/C39</f>
        <v>0.20321265373897571</v>
      </c>
      <c r="R33" s="29">
        <f>D33/D39</f>
        <v>0.19712082587363089</v>
      </c>
      <c r="S33" s="29">
        <f>F33/F39</f>
        <v>0.18848625846358372</v>
      </c>
      <c r="T33" s="29">
        <f>H33/$H$39</f>
        <v>0.18716943229099975</v>
      </c>
    </row>
    <row r="34" spans="1:22">
      <c r="A34" t="s">
        <v>64</v>
      </c>
      <c r="B34" s="9"/>
      <c r="C34" s="9"/>
      <c r="D34" s="9"/>
      <c r="F34" s="9"/>
      <c r="H34" s="9"/>
      <c r="I34" s="9"/>
      <c r="J34" s="9"/>
      <c r="K34" s="9"/>
      <c r="L34" s="9"/>
      <c r="M34" s="9"/>
      <c r="P34" s="29"/>
      <c r="Q34" s="29"/>
      <c r="R34" s="29"/>
      <c r="T34" s="29"/>
    </row>
    <row r="35" spans="1:22">
      <c r="A35" t="s">
        <v>9</v>
      </c>
      <c r="B35" s="9">
        <f>'CAN input to 09-10 charts'!B37</f>
        <v>956</v>
      </c>
      <c r="C35" s="9">
        <f>'CAN input to 09-10 charts'!C37</f>
        <v>1189</v>
      </c>
      <c r="D35" s="9">
        <f>'CAN input to 09-10 charts'!E37</f>
        <v>1124</v>
      </c>
      <c r="F35" s="9">
        <f>'CAN Disability details 10-11'!B37</f>
        <v>1139</v>
      </c>
      <c r="H35" s="9">
        <f>'CAN Disability details 11-12'!B38</f>
        <v>1167</v>
      </c>
      <c r="I35" s="9"/>
      <c r="J35" s="9">
        <f>'CAN Disability details 12-13'!B38</f>
        <v>1178</v>
      </c>
      <c r="K35" s="9"/>
      <c r="L35" s="9">
        <f>'CAN Disability detailes 13-14'!B38</f>
        <v>1216</v>
      </c>
      <c r="M35" s="9"/>
      <c r="P35" s="29"/>
      <c r="Q35" s="29"/>
      <c r="R35" s="29"/>
      <c r="T35" s="29"/>
    </row>
    <row r="36" spans="1:22">
      <c r="A36" t="s">
        <v>10</v>
      </c>
      <c r="B36" s="9">
        <f>'CAN input to 09-10 charts'!B38</f>
        <v>3493</v>
      </c>
      <c r="C36" s="9">
        <f>'CAN input to 09-10 charts'!C38</f>
        <v>4141</v>
      </c>
      <c r="D36" s="9">
        <f>'CAN input to 09-10 charts'!E38</f>
        <v>4368</v>
      </c>
      <c r="F36" s="9">
        <f>'CAN Disability details 10-11'!B38</f>
        <v>4535</v>
      </c>
      <c r="H36" s="9">
        <f>'CAN Disability details 11-12'!B39</f>
        <v>4702</v>
      </c>
      <c r="I36" s="9"/>
      <c r="J36" s="9">
        <f>'CAN Disability details 12-13'!B39</f>
        <v>4928</v>
      </c>
      <c r="K36" s="9"/>
      <c r="L36" s="9">
        <f>'CAN Disability detailes 13-14'!B39</f>
        <v>5493</v>
      </c>
      <c r="M36" s="9"/>
      <c r="P36" s="29"/>
      <c r="Q36" s="29"/>
      <c r="R36" s="29"/>
      <c r="T36" s="29"/>
    </row>
    <row r="37" spans="1:22">
      <c r="A37" s="3" t="s">
        <v>24</v>
      </c>
      <c r="B37" s="21">
        <f>SUM(B35:B36)</f>
        <v>4449</v>
      </c>
      <c r="C37" s="21">
        <f>SUM(C35:C36)</f>
        <v>5330</v>
      </c>
      <c r="D37" s="21">
        <f>SUM(D35:D36)</f>
        <v>5492</v>
      </c>
      <c r="F37" s="21">
        <f>SUM(F35:F36)</f>
        <v>5674</v>
      </c>
      <c r="H37" s="21">
        <f>SUM(H35:H36)</f>
        <v>5869</v>
      </c>
      <c r="I37" s="21"/>
      <c r="J37" s="21">
        <f>SUM(J35:J36)</f>
        <v>6106</v>
      </c>
      <c r="K37" s="21"/>
      <c r="L37" s="21">
        <f>SUM(L35:L36)</f>
        <v>6709</v>
      </c>
      <c r="M37" s="21"/>
      <c r="P37" s="29">
        <f>B37/B39</f>
        <v>0.19137088917134987</v>
      </c>
      <c r="Q37" s="29">
        <f>C37/C39</f>
        <v>0.20175907988017666</v>
      </c>
      <c r="R37" s="29">
        <f>D37/D39</f>
        <v>0.19790639751708911</v>
      </c>
      <c r="S37" s="29">
        <f>F37/F39</f>
        <v>0.19812724031982326</v>
      </c>
      <c r="T37" s="29">
        <f>H37/$H$39</f>
        <v>0.19871515884874774</v>
      </c>
    </row>
    <row r="38" spans="1:22">
      <c r="B38" s="9"/>
      <c r="C38" s="9"/>
      <c r="D38" s="9"/>
      <c r="H38" s="9"/>
      <c r="I38" s="9"/>
      <c r="J38" s="9"/>
      <c r="K38" s="9"/>
      <c r="L38" s="9"/>
      <c r="M38" s="9"/>
      <c r="T38" s="29"/>
    </row>
    <row r="39" spans="1:22" ht="15.75">
      <c r="A39" s="4" t="s">
        <v>23</v>
      </c>
      <c r="B39" s="176">
        <f>SUM(B13+B19+B23+B28+B33+B37)</f>
        <v>23248.05</v>
      </c>
      <c r="C39" s="176">
        <f>SUM(C13+C19+C23+C28+C33+C37)</f>
        <v>26417.646250000002</v>
      </c>
      <c r="D39" s="176">
        <f>SUM(D13+D19+D23+D28+D33+D37)</f>
        <v>27750.4925</v>
      </c>
      <c r="E39" s="153"/>
      <c r="F39" s="176">
        <f>SUM(F13+F19+F23+F28+F33+F37)</f>
        <v>28638.161975308642</v>
      </c>
      <c r="G39" s="153"/>
      <c r="H39" s="176">
        <f>SUM(H13+H19+H23+H28+H33+H37)</f>
        <v>29534.737228915663</v>
      </c>
      <c r="I39" s="176"/>
      <c r="J39" s="176">
        <f>SUM(J13+J19+J23+J28+J33+J37)</f>
        <v>30631.669398601396</v>
      </c>
      <c r="K39" s="176"/>
      <c r="L39" s="176">
        <f>SUM(L13+L19+L23+L28+L33+L37)</f>
        <v>31723.371657787808</v>
      </c>
      <c r="M39" s="176"/>
      <c r="P39" s="29">
        <f>P13+P17+P18+P22+P26+P27+P33+P37</f>
        <v>1.0000000000000002</v>
      </c>
      <c r="Q39" s="29">
        <f>Q13+Q17+Q18+Q22+Q26+Q27+Q33+Q37</f>
        <v>1</v>
      </c>
      <c r="R39" s="29">
        <f>R13+R17+R18+R22+R26+R27+R33+R37</f>
        <v>1</v>
      </c>
      <c r="S39" s="29">
        <f>S13+S17+S18+S22+S26+S27+S33+S37</f>
        <v>1</v>
      </c>
      <c r="T39" s="29">
        <f>H39/$H$39</f>
        <v>1</v>
      </c>
    </row>
    <row r="41" spans="1:22">
      <c r="P41" s="136"/>
      <c r="Q41" s="219" t="s">
        <v>376</v>
      </c>
      <c r="R41" s="136"/>
      <c r="S41" s="136"/>
    </row>
    <row r="42" spans="1:22">
      <c r="A42" s="34" t="s">
        <v>171</v>
      </c>
      <c r="B42" s="91" t="s">
        <v>58</v>
      </c>
      <c r="C42" s="91" t="s">
        <v>104</v>
      </c>
      <c r="D42" s="91" t="s">
        <v>181</v>
      </c>
      <c r="E42" s="91" t="s">
        <v>170</v>
      </c>
      <c r="F42" s="91" t="s">
        <v>514</v>
      </c>
      <c r="G42" s="91" t="s">
        <v>170</v>
      </c>
      <c r="H42" s="91" t="s">
        <v>689</v>
      </c>
      <c r="I42" s="91"/>
      <c r="J42" s="294" t="s">
        <v>823</v>
      </c>
      <c r="K42" s="294"/>
      <c r="L42" s="294" t="s">
        <v>824</v>
      </c>
      <c r="M42" s="91"/>
      <c r="N42" s="91" t="s">
        <v>170</v>
      </c>
      <c r="O42" s="91"/>
      <c r="P42" s="91" t="s">
        <v>58</v>
      </c>
      <c r="Q42" s="91" t="s">
        <v>104</v>
      </c>
      <c r="R42" s="91" t="s">
        <v>181</v>
      </c>
      <c r="S42" s="91" t="s">
        <v>514</v>
      </c>
      <c r="T42" s="91" t="s">
        <v>689</v>
      </c>
      <c r="U42" s="294" t="s">
        <v>823</v>
      </c>
      <c r="V42" s="294" t="s">
        <v>824</v>
      </c>
    </row>
    <row r="43" spans="1:22">
      <c r="A43" t="s">
        <v>11</v>
      </c>
      <c r="B43" s="9">
        <f>B13</f>
        <v>1710</v>
      </c>
      <c r="C43" s="9">
        <f>C13</f>
        <v>2005.9</v>
      </c>
      <c r="D43" s="9">
        <f>D13</f>
        <v>2048.5</v>
      </c>
      <c r="E43" s="29">
        <f>(D43-B43)/B43</f>
        <v>0.19795321637426899</v>
      </c>
      <c r="F43" s="9">
        <f>F13</f>
        <v>2190.4</v>
      </c>
      <c r="G43" s="29">
        <f>(F43-B43)/B43</f>
        <v>0.28093567251461993</v>
      </c>
      <c r="H43" s="9">
        <f>H13</f>
        <v>2308.46</v>
      </c>
      <c r="I43" s="29">
        <f>(H43-B43)/B43</f>
        <v>0.3499766081871345</v>
      </c>
      <c r="J43" s="9">
        <f>J13</f>
        <v>2404.48</v>
      </c>
      <c r="K43" s="29">
        <f>(J43-B43)/B43</f>
        <v>0.40612865497076023</v>
      </c>
      <c r="L43" s="9">
        <f>L13</f>
        <v>2521.625</v>
      </c>
      <c r="M43" s="29">
        <f>(L43-B43)/B43</f>
        <v>0.47463450292397663</v>
      </c>
      <c r="N43" s="29">
        <f>(L43-B43)/B43</f>
        <v>0.47463450292397663</v>
      </c>
      <c r="O43" s="29"/>
      <c r="P43" s="29">
        <f>B43/$B$50</f>
        <v>7.3554556188583559E-2</v>
      </c>
      <c r="Q43" s="29">
        <f>C43/$C$50</f>
        <v>7.5930307379295764E-2</v>
      </c>
      <c r="R43" s="29">
        <f>D43/$D$50</f>
        <v>7.3818509707530414E-2</v>
      </c>
      <c r="S43" s="29">
        <f>F43/$F$50</f>
        <v>7.6485355515780909E-2</v>
      </c>
      <c r="T43" s="29">
        <f>H43/$H$50</f>
        <v>7.816084436803207E-2</v>
      </c>
      <c r="U43" s="29">
        <f>J43/$J$50</f>
        <v>7.8496537968961805E-2</v>
      </c>
      <c r="V43" s="29">
        <f>L43/$L$50</f>
        <v>7.9487925407227739E-2</v>
      </c>
    </row>
    <row r="44" spans="1:22">
      <c r="A44" t="s">
        <v>94</v>
      </c>
      <c r="B44" s="9">
        <f>B16+B17</f>
        <v>3779.8</v>
      </c>
      <c r="C44" s="9">
        <f>C16+C17</f>
        <v>4048</v>
      </c>
      <c r="D44" s="9">
        <f>D16+D17</f>
        <v>4262.3999999999996</v>
      </c>
      <c r="E44" s="29">
        <f t="shared" ref="E44:E50" si="0">(D44-B44)/B44</f>
        <v>0.12767871315942628</v>
      </c>
      <c r="F44" s="9">
        <f>F16+F17</f>
        <v>4435</v>
      </c>
      <c r="G44" s="29">
        <f t="shared" ref="G44:G50" si="1">(F44-B44)/B44</f>
        <v>0.17334250489443881</v>
      </c>
      <c r="H44" s="9">
        <f>H16+H17</f>
        <v>4643.3999999999996</v>
      </c>
      <c r="I44" s="29">
        <f t="shared" ref="I44:I50" si="2">(H44-B44)/B44</f>
        <v>0.22847769723265765</v>
      </c>
      <c r="J44" s="9">
        <f>J16+J17</f>
        <v>4727.1000000000004</v>
      </c>
      <c r="K44" s="29">
        <f t="shared" ref="K44:K50" si="3">(J44-B44)/B44</f>
        <v>0.25062172601724964</v>
      </c>
      <c r="L44" s="9">
        <f>L16+L17</f>
        <v>4766.8</v>
      </c>
      <c r="M44" s="29">
        <f t="shared" ref="M44:M50" si="4">(L44-B44)/B44</f>
        <v>0.26112492724482778</v>
      </c>
      <c r="N44" s="29">
        <f t="shared" ref="N44:N50" si="5">(L44-B44)/B44</f>
        <v>0.26112492724482778</v>
      </c>
      <c r="O44" s="29"/>
      <c r="P44" s="29">
        <f t="shared" ref="P44:P50" si="6">B44/$B$50</f>
        <v>0.16258567922901063</v>
      </c>
      <c r="Q44" s="29">
        <f t="shared" ref="Q44:Q50" si="7">C44/$C$50</f>
        <v>0.15323091094839683</v>
      </c>
      <c r="R44" s="29">
        <f t="shared" ref="R44:R50" si="8">D44/$D$50</f>
        <v>0.15359727399432641</v>
      </c>
      <c r="S44" s="29">
        <f t="shared" ref="S44:S50" si="9">F44/$F$50</f>
        <v>0.15486329059189571</v>
      </c>
      <c r="T44" s="29">
        <f t="shared" ref="T44:T50" si="10">H44/$H$50</f>
        <v>0.15721826011216139</v>
      </c>
      <c r="U44" s="29">
        <f t="shared" ref="U44:U50" si="11">J44/$J$50</f>
        <v>0.15432067833089874</v>
      </c>
      <c r="V44" s="29">
        <f t="shared" ref="V44:V50" si="12">L44/$L$50</f>
        <v>0.15026145554203071</v>
      </c>
    </row>
    <row r="45" spans="1:22">
      <c r="A45" t="s">
        <v>6</v>
      </c>
      <c r="B45" s="9">
        <f>B18</f>
        <v>859.2</v>
      </c>
      <c r="C45" s="102">
        <f>C18</f>
        <v>1008.8</v>
      </c>
      <c r="D45" s="102">
        <f>D18</f>
        <v>1075.2</v>
      </c>
      <c r="E45" s="111">
        <f t="shared" si="0"/>
        <v>0.25139664804469275</v>
      </c>
      <c r="F45" s="102">
        <f>F18</f>
        <v>1066</v>
      </c>
      <c r="G45" s="29">
        <f t="shared" si="1"/>
        <v>0.24068901303538168</v>
      </c>
      <c r="H45" s="9">
        <f>H18</f>
        <v>1117.3</v>
      </c>
      <c r="I45" s="29">
        <f t="shared" si="2"/>
        <v>0.30039571694599615</v>
      </c>
      <c r="J45" s="9">
        <f>J18</f>
        <v>1191</v>
      </c>
      <c r="K45" s="29">
        <f t="shared" si="3"/>
        <v>0.38617318435754183</v>
      </c>
      <c r="L45" s="9">
        <f>L18</f>
        <v>1276.8</v>
      </c>
      <c r="M45" s="29">
        <f t="shared" si="4"/>
        <v>0.4860335195530725</v>
      </c>
      <c r="N45" s="29">
        <f t="shared" si="5"/>
        <v>0.4860335195530725</v>
      </c>
      <c r="O45" s="29"/>
      <c r="P45" s="29">
        <f t="shared" si="6"/>
        <v>3.6957938407737423E-2</v>
      </c>
      <c r="Q45" s="29">
        <f t="shared" si="7"/>
        <v>3.8186596582199292E-2</v>
      </c>
      <c r="R45" s="29">
        <f t="shared" si="8"/>
        <v>3.874525830487513E-2</v>
      </c>
      <c r="S45" s="29">
        <f t="shared" si="9"/>
        <v>3.7223059249371096E-2</v>
      </c>
      <c r="T45" s="29">
        <f t="shared" si="10"/>
        <v>3.7830030155342621E-2</v>
      </c>
      <c r="U45" s="29">
        <f t="shared" si="11"/>
        <v>3.8881328487254424E-2</v>
      </c>
      <c r="V45" s="29">
        <f t="shared" si="12"/>
        <v>4.0247928680889659E-2</v>
      </c>
    </row>
    <row r="46" spans="1:22">
      <c r="A46" t="s">
        <v>478</v>
      </c>
      <c r="B46" s="9">
        <f>B22</f>
        <v>1656</v>
      </c>
      <c r="C46" s="9">
        <f>C22</f>
        <v>1973.9</v>
      </c>
      <c r="D46" s="9">
        <f>D22</f>
        <v>2030.2</v>
      </c>
      <c r="E46" s="29">
        <f t="shared" si="0"/>
        <v>0.22596618357487924</v>
      </c>
      <c r="F46" s="9">
        <f>F22</f>
        <v>2117.7999999999997</v>
      </c>
      <c r="G46" s="29">
        <f t="shared" si="1"/>
        <v>0.27886473429951675</v>
      </c>
      <c r="H46" s="9">
        <f>H23</f>
        <v>2054.6999999999998</v>
      </c>
      <c r="I46" s="29">
        <f t="shared" si="2"/>
        <v>0.24076086956521728</v>
      </c>
      <c r="J46" s="9">
        <f>J23</f>
        <v>2062.1999999999998</v>
      </c>
      <c r="K46" s="29">
        <f t="shared" si="3"/>
        <v>0.24528985507246365</v>
      </c>
      <c r="L46" s="9">
        <f>L23</f>
        <v>2024.3000000000002</v>
      </c>
      <c r="M46" s="29">
        <f t="shared" si="4"/>
        <v>0.22240338164251219</v>
      </c>
      <c r="N46" s="29">
        <f t="shared" si="5"/>
        <v>0.22240338164251219</v>
      </c>
      <c r="O46" s="29"/>
      <c r="P46" s="29">
        <f t="shared" si="6"/>
        <v>7.123178072999671E-2</v>
      </c>
      <c r="Q46" s="29">
        <f t="shared" si="7"/>
        <v>7.4718995830296578E-2</v>
      </c>
      <c r="R46" s="29">
        <f t="shared" si="8"/>
        <v>7.3159061951783386E-2</v>
      </c>
      <c r="S46" s="29">
        <f t="shared" si="9"/>
        <v>7.3950276621311539E-2</v>
      </c>
      <c r="T46" s="29">
        <f t="shared" si="10"/>
        <v>6.9568927736670977E-2</v>
      </c>
      <c r="U46" s="29">
        <f t="shared" si="11"/>
        <v>6.7322481617477808E-2</v>
      </c>
      <c r="V46" s="29">
        <f t="shared" si="12"/>
        <v>6.3810997829515145E-2</v>
      </c>
    </row>
    <row r="47" spans="1:22">
      <c r="A47" s="74" t="s">
        <v>363</v>
      </c>
      <c r="B47" s="154">
        <f>B28</f>
        <v>5957.2500000000009</v>
      </c>
      <c r="C47" s="154">
        <f>C28</f>
        <v>6682.6462500000016</v>
      </c>
      <c r="D47" s="154">
        <f>D28</f>
        <v>7371.9925000000003</v>
      </c>
      <c r="E47" s="155">
        <f t="shared" si="0"/>
        <v>0.23748247933190636</v>
      </c>
      <c r="F47" s="154">
        <f>F28</f>
        <v>7757.0619753086439</v>
      </c>
      <c r="G47" s="155">
        <f t="shared" si="1"/>
        <v>0.30212127664755428</v>
      </c>
      <c r="H47" s="154">
        <f>H28</f>
        <v>8013.8772289156623</v>
      </c>
      <c r="I47" s="29">
        <f t="shared" si="2"/>
        <v>0.34523097551985582</v>
      </c>
      <c r="J47" s="154">
        <f>J28</f>
        <v>8695.6093986013984</v>
      </c>
      <c r="K47" s="29">
        <f t="shared" si="3"/>
        <v>0.45966837023817986</v>
      </c>
      <c r="L47" s="154">
        <f>L28</f>
        <v>9024.7106577878094</v>
      </c>
      <c r="M47" s="29">
        <f t="shared" si="4"/>
        <v>0.51491219233502172</v>
      </c>
      <c r="N47" s="29">
        <f t="shared" si="5"/>
        <v>0.51491219233502172</v>
      </c>
      <c r="O47" s="155"/>
      <c r="P47" s="155">
        <f t="shared" si="6"/>
        <v>0.25624729816049091</v>
      </c>
      <c r="Q47" s="155">
        <f t="shared" si="7"/>
        <v>0.25296145564065919</v>
      </c>
      <c r="R47" s="155">
        <f t="shared" si="8"/>
        <v>0.2656526726507647</v>
      </c>
      <c r="S47" s="155">
        <f t="shared" si="9"/>
        <v>0.27086451923823385</v>
      </c>
      <c r="T47" s="29">
        <f t="shared" si="10"/>
        <v>0.27133734648804536</v>
      </c>
      <c r="U47" s="29">
        <f t="shared" si="11"/>
        <v>0.2838764445204684</v>
      </c>
      <c r="V47" s="29">
        <f t="shared" si="12"/>
        <v>0.28448144652279805</v>
      </c>
    </row>
    <row r="48" spans="1:22">
      <c r="A48" t="s">
        <v>369</v>
      </c>
      <c r="B48" s="9">
        <f>B33</f>
        <v>4836.8</v>
      </c>
      <c r="C48" s="9">
        <f>C33</f>
        <v>5368.4000000000005</v>
      </c>
      <c r="D48" s="9">
        <f>D33</f>
        <v>5470.2</v>
      </c>
      <c r="E48" s="29">
        <f t="shared" si="0"/>
        <v>0.13095434998346006</v>
      </c>
      <c r="F48" s="9">
        <f>F33</f>
        <v>5397.9</v>
      </c>
      <c r="G48" s="29">
        <f t="shared" si="1"/>
        <v>0.11600645054581529</v>
      </c>
      <c r="H48" s="9">
        <f>H33</f>
        <v>5528</v>
      </c>
      <c r="I48" s="29">
        <f t="shared" si="2"/>
        <v>0.1429043996030433</v>
      </c>
      <c r="J48" s="9">
        <f>J33</f>
        <v>5445.28</v>
      </c>
      <c r="K48" s="29">
        <f t="shared" si="3"/>
        <v>0.12580218326166051</v>
      </c>
      <c r="L48" s="9">
        <f>L33</f>
        <v>5400.1359999999995</v>
      </c>
      <c r="M48" s="29">
        <f t="shared" si="4"/>
        <v>0.1164687396625867</v>
      </c>
      <c r="N48" s="29">
        <f t="shared" si="5"/>
        <v>0.1164687396625867</v>
      </c>
      <c r="O48" s="29"/>
      <c r="P48" s="29">
        <f t="shared" si="6"/>
        <v>0.20805185811283097</v>
      </c>
      <c r="Q48" s="29">
        <f t="shared" si="7"/>
        <v>0.20321265373897571</v>
      </c>
      <c r="R48" s="29">
        <f t="shared" si="8"/>
        <v>0.19712082587363089</v>
      </c>
      <c r="S48" s="29">
        <f t="shared" si="9"/>
        <v>0.18848625846358372</v>
      </c>
      <c r="T48" s="29">
        <f t="shared" si="10"/>
        <v>0.18716943229099975</v>
      </c>
      <c r="U48" s="29">
        <f t="shared" si="11"/>
        <v>0.1777663479303751</v>
      </c>
      <c r="V48" s="29">
        <f t="shared" si="12"/>
        <v>0.17022578993977502</v>
      </c>
    </row>
    <row r="49" spans="1:22">
      <c r="A49" t="s">
        <v>180</v>
      </c>
      <c r="B49" s="9">
        <f>B37</f>
        <v>4449</v>
      </c>
      <c r="C49" s="9">
        <f>C37</f>
        <v>5330</v>
      </c>
      <c r="D49" s="9">
        <f>D37</f>
        <v>5492</v>
      </c>
      <c r="E49" s="29">
        <f t="shared" si="0"/>
        <v>0.23443470442796133</v>
      </c>
      <c r="F49" s="9">
        <f>F37</f>
        <v>5674</v>
      </c>
      <c r="G49" s="29">
        <f t="shared" si="1"/>
        <v>0.27534277365700155</v>
      </c>
      <c r="H49" s="9">
        <f>H37</f>
        <v>5869</v>
      </c>
      <c r="I49" s="29">
        <f t="shared" si="2"/>
        <v>0.31917284783097327</v>
      </c>
      <c r="J49" s="9">
        <f>J37</f>
        <v>6106</v>
      </c>
      <c r="K49" s="29">
        <f t="shared" si="3"/>
        <v>0.37244324567318499</v>
      </c>
      <c r="L49" s="9">
        <f>L37</f>
        <v>6709</v>
      </c>
      <c r="M49" s="29">
        <f t="shared" si="4"/>
        <v>0.50797932119577438</v>
      </c>
      <c r="N49" s="29">
        <f t="shared" si="5"/>
        <v>0.50797932119577438</v>
      </c>
      <c r="O49" s="29"/>
      <c r="P49" s="29">
        <f t="shared" si="6"/>
        <v>0.19137088917134987</v>
      </c>
      <c r="Q49" s="29">
        <f t="shared" si="7"/>
        <v>0.20175907988017666</v>
      </c>
      <c r="R49" s="29">
        <f t="shared" si="8"/>
        <v>0.19790639751708911</v>
      </c>
      <c r="S49" s="29">
        <f t="shared" si="9"/>
        <v>0.19812724031982326</v>
      </c>
      <c r="T49" s="29">
        <f t="shared" si="10"/>
        <v>0.19871515884874774</v>
      </c>
      <c r="U49" s="29">
        <f t="shared" si="11"/>
        <v>0.19933618114456381</v>
      </c>
      <c r="V49" s="29">
        <f t="shared" si="12"/>
        <v>0.21148445607776373</v>
      </c>
    </row>
    <row r="50" spans="1:22">
      <c r="B50" s="9">
        <f>SUM(B43:B49)</f>
        <v>23248.05</v>
      </c>
      <c r="C50" s="9">
        <f>SUM(C43:C49)</f>
        <v>26417.646250000002</v>
      </c>
      <c r="D50" s="102">
        <f>SUM(D43:D49)</f>
        <v>27750.4925</v>
      </c>
      <c r="E50" s="29">
        <f t="shared" si="0"/>
        <v>0.19366968412404487</v>
      </c>
      <c r="F50" s="102">
        <f>SUM(F43:F49)</f>
        <v>28638.161975308642</v>
      </c>
      <c r="G50" s="29">
        <f t="shared" si="1"/>
        <v>0.23185221880151852</v>
      </c>
      <c r="H50" s="102">
        <f>SUM(H43:H49)</f>
        <v>29534.737228915663</v>
      </c>
      <c r="I50" s="29">
        <f t="shared" si="2"/>
        <v>0.27041782983586427</v>
      </c>
      <c r="J50" s="102">
        <f>SUM(J43:J49)</f>
        <v>30631.669398601396</v>
      </c>
      <c r="K50" s="29">
        <f t="shared" si="3"/>
        <v>0.31760166545587254</v>
      </c>
      <c r="L50" s="102">
        <f>SUM(L43:L49)</f>
        <v>31723.371657787808</v>
      </c>
      <c r="M50" s="29">
        <f t="shared" si="4"/>
        <v>0.36456053982109504</v>
      </c>
      <c r="N50" s="29">
        <f t="shared" si="5"/>
        <v>0.36456053982109504</v>
      </c>
      <c r="O50" s="29"/>
      <c r="P50" s="29">
        <f t="shared" si="6"/>
        <v>1</v>
      </c>
      <c r="Q50" s="29">
        <f t="shared" si="7"/>
        <v>1</v>
      </c>
      <c r="R50" s="29">
        <f t="shared" si="8"/>
        <v>1</v>
      </c>
      <c r="S50" s="29">
        <f t="shared" si="9"/>
        <v>1</v>
      </c>
      <c r="T50" s="29">
        <f t="shared" si="10"/>
        <v>1</v>
      </c>
      <c r="U50" s="29">
        <f t="shared" si="11"/>
        <v>1</v>
      </c>
      <c r="V50" s="29">
        <f t="shared" si="12"/>
        <v>1</v>
      </c>
    </row>
    <row r="51" spans="1:22">
      <c r="B51" s="9"/>
    </row>
    <row r="52" spans="1:22">
      <c r="P52" s="136"/>
      <c r="Q52" s="219" t="s">
        <v>376</v>
      </c>
      <c r="R52" s="136"/>
      <c r="S52" s="136"/>
    </row>
    <row r="54" spans="1:22">
      <c r="A54" s="34" t="s">
        <v>172</v>
      </c>
      <c r="B54" s="91" t="s">
        <v>58</v>
      </c>
      <c r="C54" s="91" t="s">
        <v>104</v>
      </c>
      <c r="D54" s="91" t="s">
        <v>181</v>
      </c>
      <c r="E54" s="91" t="s">
        <v>913</v>
      </c>
      <c r="F54" s="91" t="s">
        <v>514</v>
      </c>
      <c r="G54" s="91" t="s">
        <v>913</v>
      </c>
      <c r="H54" s="91" t="s">
        <v>689</v>
      </c>
      <c r="I54" s="91"/>
      <c r="J54" s="294" t="s">
        <v>823</v>
      </c>
      <c r="K54" s="294"/>
      <c r="L54" s="294" t="s">
        <v>824</v>
      </c>
      <c r="M54" s="91"/>
      <c r="N54" s="91" t="s">
        <v>914</v>
      </c>
      <c r="O54" s="91"/>
      <c r="P54" s="91" t="s">
        <v>58</v>
      </c>
      <c r="Q54" s="91" t="s">
        <v>104</v>
      </c>
      <c r="R54" s="91" t="s">
        <v>181</v>
      </c>
      <c r="S54" s="91" t="s">
        <v>514</v>
      </c>
      <c r="T54" s="91" t="s">
        <v>689</v>
      </c>
      <c r="U54" s="294" t="s">
        <v>823</v>
      </c>
      <c r="V54" s="294" t="s">
        <v>824</v>
      </c>
    </row>
    <row r="55" spans="1:22">
      <c r="A55" t="s">
        <v>11</v>
      </c>
      <c r="B55" s="9">
        <f>'ONT DIS $ 2005-06'!B13</f>
        <v>665.19</v>
      </c>
      <c r="C55" s="9">
        <f>'ONT DIS $ 2008-09'!B13</f>
        <v>782.30100000000004</v>
      </c>
      <c r="D55" s="9">
        <f>'ONT Disability details 09-10'!B13</f>
        <v>794.81799999999998</v>
      </c>
      <c r="E55" s="29">
        <f t="shared" ref="E55:E64" si="13">(D55-B55)/B55</f>
        <v>0.19487364512394942</v>
      </c>
      <c r="F55" s="9">
        <f>'ONT Disability details 10-11'!B13</f>
        <v>849.87520000000006</v>
      </c>
      <c r="G55" s="29">
        <f>(F55-B55)/B55</f>
        <v>0.2776427787549422</v>
      </c>
      <c r="H55" s="9">
        <f>'Ont Disability details 11-12'!B13</f>
        <v>891.06556</v>
      </c>
      <c r="I55" s="9"/>
      <c r="J55" s="9">
        <f>'ONT disability details 12-13'!B13</f>
        <v>928.12927999999988</v>
      </c>
      <c r="K55" s="9"/>
      <c r="L55" s="9">
        <f>'ONT Disability details 13-14'!B13</f>
        <v>973.34725000000003</v>
      </c>
      <c r="M55" s="9"/>
      <c r="N55" s="29">
        <f>(L55-B55)/B55</f>
        <v>0.4632620003307325</v>
      </c>
      <c r="O55" s="29"/>
      <c r="P55" s="29">
        <f t="shared" ref="P55:P63" si="14">B55/$B$64</f>
        <v>7.0475897452849198E-2</v>
      </c>
      <c r="Q55" s="29">
        <f t="shared" ref="Q55:Q63" si="15">C55/$C$64</f>
        <v>7.0454996579474183E-2</v>
      </c>
      <c r="R55" s="29">
        <f t="shared" ref="R55:R63" si="16">D55/$D$64</f>
        <v>6.8214256436128509E-2</v>
      </c>
      <c r="S55" s="29">
        <f>F55/$F$64</f>
        <v>7.0714238477369767E-2</v>
      </c>
      <c r="T55" s="29">
        <f>H55/$H$64</f>
        <v>7.1075937195943406E-2</v>
      </c>
      <c r="U55" s="29">
        <f>J55/$J$64</f>
        <v>7.2923844369607624E-2</v>
      </c>
      <c r="V55" s="29">
        <f>L55/$L$64</f>
        <v>7.4195674330798725E-2</v>
      </c>
    </row>
    <row r="56" spans="1:22">
      <c r="A56" t="s">
        <v>179</v>
      </c>
      <c r="B56" s="9">
        <f>'ONT DIS $ 2005-06'!B16</f>
        <v>1524.6</v>
      </c>
      <c r="C56" s="9">
        <f>'ONT DIS $ 2008-09'!B16</f>
        <v>1656.8</v>
      </c>
      <c r="D56" s="9">
        <f>'ONT Disability details 09-10'!B16</f>
        <v>1732.2</v>
      </c>
      <c r="E56" s="29">
        <f t="shared" si="13"/>
        <v>0.13616686343959081</v>
      </c>
      <c r="F56" s="9">
        <f>'ONT Disability details 10-11'!B16</f>
        <v>1827.9</v>
      </c>
      <c r="G56" s="29">
        <f t="shared" ref="G56:G64" si="17">(F56-B56)/B56</f>
        <v>0.19893742621015362</v>
      </c>
      <c r="H56" s="9">
        <f>'Ont Disability details 11-12'!B16</f>
        <v>1937.4</v>
      </c>
      <c r="I56" s="9"/>
      <c r="J56" s="9">
        <f>'ONT disability details 12-13'!B16</f>
        <v>1952.6</v>
      </c>
      <c r="K56" s="9"/>
      <c r="L56" s="9">
        <f>'ONT Disability details 13-14'!B16</f>
        <v>1979.9</v>
      </c>
      <c r="M56" s="9"/>
      <c r="N56" s="29">
        <f t="shared" ref="N56:N64" si="18">(L56-B56)/B56</f>
        <v>0.29863570772661696</v>
      </c>
      <c r="O56" s="29"/>
      <c r="P56" s="29">
        <f t="shared" si="14"/>
        <v>0.16152911687880739</v>
      </c>
      <c r="Q56" s="29">
        <f t="shared" si="15"/>
        <v>0.14921345918370654</v>
      </c>
      <c r="R56" s="29">
        <f t="shared" si="16"/>
        <v>0.14866388908990713</v>
      </c>
      <c r="S56" s="29">
        <f t="shared" ref="S56:S63" si="19">F56/$F$64</f>
        <v>0.15209122058483904</v>
      </c>
      <c r="T56" s="29">
        <f t="shared" ref="T56:T64" si="20">H56/$H$64</f>
        <v>0.15453691277600354</v>
      </c>
      <c r="U56" s="29">
        <f t="shared" ref="U56:U64" si="21">J56/$J$64</f>
        <v>0.15341731112727727</v>
      </c>
      <c r="V56" s="29">
        <f t="shared" ref="V56:V64" si="22">L56/$L$64</f>
        <v>0.15092251568753948</v>
      </c>
    </row>
    <row r="57" spans="1:22">
      <c r="A57" t="s">
        <v>6</v>
      </c>
      <c r="B57" s="9">
        <f>'ONT DIS $ 2005-06'!B18</f>
        <v>259.3</v>
      </c>
      <c r="C57" s="102">
        <f>'ONT DIS $ 2008-09'!B18</f>
        <v>289.5</v>
      </c>
      <c r="D57" s="102">
        <f>'ONT Disability details 09-10'!B18</f>
        <v>308.39999999999998</v>
      </c>
      <c r="E57" s="111">
        <f t="shared" si="13"/>
        <v>0.18935595834940211</v>
      </c>
      <c r="F57" s="102">
        <f>'ONT Disability details 10-11'!B18</f>
        <v>308.5</v>
      </c>
      <c r="G57" s="29">
        <f t="shared" si="17"/>
        <v>0.18974161203239487</v>
      </c>
      <c r="H57" s="9">
        <f>'Ont Disability details 11-12'!B18</f>
        <v>327.3</v>
      </c>
      <c r="I57" s="9"/>
      <c r="J57" s="9">
        <f>'ONT disability details 12-13'!B18</f>
        <v>331.8</v>
      </c>
      <c r="K57" s="9"/>
      <c r="L57" s="9">
        <f>'ONT Disability details 13-14'!B18</f>
        <v>368.9</v>
      </c>
      <c r="M57" s="9"/>
      <c r="N57" s="29">
        <f t="shared" si="18"/>
        <v>0.422676436559969</v>
      </c>
      <c r="O57" s="29"/>
      <c r="P57" s="29">
        <f t="shared" si="14"/>
        <v>2.7472451795011649E-2</v>
      </c>
      <c r="Q57" s="29">
        <f t="shared" si="15"/>
        <v>2.6072728412411303E-2</v>
      </c>
      <c r="R57" s="29">
        <f t="shared" si="16"/>
        <v>2.646804260208253E-2</v>
      </c>
      <c r="S57" s="29">
        <f t="shared" si="19"/>
        <v>2.5668877701418479E-2</v>
      </c>
      <c r="T57" s="29">
        <f t="shared" si="20"/>
        <v>2.6107118587584369E-2</v>
      </c>
      <c r="U57" s="29">
        <f t="shared" si="21"/>
        <v>2.6069785840433578E-2</v>
      </c>
      <c r="V57" s="29">
        <f t="shared" si="22"/>
        <v>2.8120266698890502E-2</v>
      </c>
    </row>
    <row r="58" spans="1:22">
      <c r="A58" t="s">
        <v>478</v>
      </c>
      <c r="B58" s="9">
        <f>'ONT DIS $ 2005-06'!B21</f>
        <v>564.69600000000003</v>
      </c>
      <c r="C58" s="9">
        <f>'ONT DIS $ 2008-09'!B22</f>
        <v>621.20000000000005</v>
      </c>
      <c r="D58" s="9">
        <f>'ONT Disability details 09-10'!B22</f>
        <v>702.44920000000002</v>
      </c>
      <c r="E58" s="29">
        <f t="shared" si="13"/>
        <v>0.24394222732231144</v>
      </c>
      <c r="F58" s="9">
        <f>'ONT Disability details 10-11'!B22</f>
        <v>708.1</v>
      </c>
      <c r="G58" s="29">
        <f t="shared" si="17"/>
        <v>0.25394902744131354</v>
      </c>
      <c r="H58" s="9">
        <f>'Ont Disability details 11-12'!B23</f>
        <v>681.69999999999993</v>
      </c>
      <c r="I58" s="9"/>
      <c r="J58" s="9">
        <f>'ONT disability details 12-13'!B24</f>
        <v>683.30000000000007</v>
      </c>
      <c r="K58" s="9"/>
      <c r="L58" s="9">
        <f>'ONT Disability details 13-14'!B24</f>
        <v>679.9</v>
      </c>
      <c r="M58" s="9"/>
      <c r="N58" s="29">
        <f t="shared" si="18"/>
        <v>0.20401065351976982</v>
      </c>
      <c r="O58" s="29"/>
      <c r="P58" s="29">
        <f t="shared" si="14"/>
        <v>5.9828706667319313E-2</v>
      </c>
      <c r="Q58" s="29">
        <f t="shared" si="15"/>
        <v>5.5946041070086015E-2</v>
      </c>
      <c r="R58" s="29">
        <f t="shared" si="16"/>
        <v>6.0286820205573258E-2</v>
      </c>
      <c r="S58" s="29">
        <f t="shared" si="19"/>
        <v>5.8917770827793925E-2</v>
      </c>
      <c r="T58" s="29">
        <f t="shared" si="20"/>
        <v>5.437587149757489E-2</v>
      </c>
      <c r="U58" s="29">
        <f t="shared" si="21"/>
        <v>5.3687416108403455E-2</v>
      </c>
      <c r="V58" s="29">
        <f t="shared" si="22"/>
        <v>5.1826970259082818E-2</v>
      </c>
    </row>
    <row r="59" spans="1:22">
      <c r="A59" s="153" t="s">
        <v>44</v>
      </c>
      <c r="B59" s="154">
        <f>'ONT DIS $ 2005-06'!B25</f>
        <v>2432.5</v>
      </c>
      <c r="C59" s="154">
        <f>'ONT DIS $ 2008-09'!B26</f>
        <v>3025</v>
      </c>
      <c r="D59" s="154">
        <f>'ONT Disability details 09-10'!B26</f>
        <v>3294.5</v>
      </c>
      <c r="E59" s="155">
        <f t="shared" si="13"/>
        <v>0.35436793422404933</v>
      </c>
      <c r="F59" s="154">
        <f>'ONT Disability details 10-11'!B26</f>
        <v>3535.8</v>
      </c>
      <c r="G59" s="155">
        <f t="shared" si="17"/>
        <v>0.45356628982528269</v>
      </c>
      <c r="H59" s="154">
        <f>'Ont Disability details 11-12'!B26</f>
        <v>3794.8</v>
      </c>
      <c r="I59" s="154"/>
      <c r="J59" s="154">
        <f>'ONT disability details 12-13'!B27</f>
        <v>4029.3</v>
      </c>
      <c r="K59" s="154"/>
      <c r="L59" s="154">
        <f>'ONT Disability details 13-14'!B27</f>
        <v>4165.7</v>
      </c>
      <c r="M59" s="154"/>
      <c r="N59" s="29">
        <f t="shared" si="18"/>
        <v>0.7125179856115107</v>
      </c>
      <c r="O59" s="155"/>
      <c r="P59" s="155">
        <f t="shared" si="14"/>
        <v>0.25771978014410268</v>
      </c>
      <c r="Q59" s="155">
        <f t="shared" si="15"/>
        <v>0.27243524506923728</v>
      </c>
      <c r="R59" s="155">
        <f t="shared" si="16"/>
        <v>0.28274632410039202</v>
      </c>
      <c r="S59" s="155">
        <f t="shared" si="19"/>
        <v>0.29419778857917489</v>
      </c>
      <c r="T59" s="155">
        <f t="shared" si="20"/>
        <v>0.30269261722018076</v>
      </c>
      <c r="U59" s="29">
        <f t="shared" si="21"/>
        <v>0.31658525644020202</v>
      </c>
      <c r="V59" s="29">
        <f t="shared" si="22"/>
        <v>0.31754024122409369</v>
      </c>
    </row>
    <row r="60" spans="1:22">
      <c r="A60" t="s">
        <v>375</v>
      </c>
      <c r="B60" s="9">
        <f>'ONT DIS $ 2005-06'!B26</f>
        <v>56.760000000000005</v>
      </c>
      <c r="C60" s="9">
        <f>'ONT DIS $ 2008-09'!B27</f>
        <v>61.655000000000001</v>
      </c>
      <c r="D60" s="9">
        <f>'ONT Disability details 09-10'!B27</f>
        <v>65.12</v>
      </c>
      <c r="E60" s="29">
        <f t="shared" si="13"/>
        <v>0.14728682170542634</v>
      </c>
      <c r="F60" s="9">
        <f>'ONT Disability details 10-11'!B27</f>
        <v>65.67</v>
      </c>
      <c r="G60" s="29">
        <f t="shared" si="17"/>
        <v>0.15697674418604643</v>
      </c>
      <c r="H60" s="9">
        <f>'Ont Disability details 11-12'!B27</f>
        <v>69.245000000000005</v>
      </c>
      <c r="I60" s="9"/>
      <c r="J60" s="9">
        <f>'ONT disability details 12-13'!B28</f>
        <v>72.048000000000002</v>
      </c>
      <c r="K60" s="9"/>
      <c r="L60" s="9">
        <f>'ONT Disability details 13-14'!B28</f>
        <v>76.405000000000001</v>
      </c>
      <c r="M60" s="9"/>
      <c r="N60" s="29">
        <f t="shared" si="18"/>
        <v>0.346106412966878</v>
      </c>
      <c r="O60" s="29"/>
      <c r="P60" s="29">
        <f t="shared" si="14"/>
        <v>6.0136381175659899E-3</v>
      </c>
      <c r="Q60" s="29">
        <f t="shared" si="15"/>
        <v>5.5527256313202726E-3</v>
      </c>
      <c r="R60" s="29">
        <f t="shared" si="16"/>
        <v>5.5888421992464805E-3</v>
      </c>
      <c r="S60" s="29">
        <f t="shared" si="19"/>
        <v>5.4641011301528415E-3</v>
      </c>
      <c r="T60" s="29">
        <f t="shared" si="20"/>
        <v>5.5233346367164066E-3</v>
      </c>
      <c r="U60" s="29">
        <f t="shared" si="21"/>
        <v>5.6608677824941485E-3</v>
      </c>
      <c r="V60" s="29">
        <f t="shared" si="22"/>
        <v>5.8241501142009457E-3</v>
      </c>
    </row>
    <row r="61" spans="1:22">
      <c r="A61" s="153" t="s">
        <v>505</v>
      </c>
      <c r="B61" s="154">
        <f>B59+B60</f>
        <v>2489.2600000000002</v>
      </c>
      <c r="C61" s="154">
        <f>C59+C60</f>
        <v>3086.6550000000002</v>
      </c>
      <c r="D61" s="154">
        <f>D59+D60</f>
        <v>3359.62</v>
      </c>
      <c r="E61" s="155">
        <f t="shared" si="13"/>
        <v>0.34964607955778004</v>
      </c>
      <c r="F61" s="154">
        <f>SUM(F59:F60)</f>
        <v>3601.4700000000003</v>
      </c>
      <c r="G61" s="155">
        <f t="shared" si="17"/>
        <v>0.44680346769722729</v>
      </c>
      <c r="H61" s="154">
        <f>'Ont Disability details 11-12'!B28</f>
        <v>3864.0450000000001</v>
      </c>
      <c r="I61" s="154"/>
      <c r="J61" s="154">
        <f>SUM(J59:J60)</f>
        <v>4101.348</v>
      </c>
      <c r="K61" s="154"/>
      <c r="L61" s="154"/>
      <c r="M61" s="154"/>
      <c r="N61" s="29">
        <f t="shared" si="18"/>
        <v>-1</v>
      </c>
      <c r="O61" s="155"/>
      <c r="P61" s="155">
        <f t="shared" si="14"/>
        <v>0.26373341826166868</v>
      </c>
      <c r="Q61" s="155">
        <f t="shared" si="15"/>
        <v>0.27798797070055753</v>
      </c>
      <c r="R61" s="155">
        <f t="shared" si="16"/>
        <v>0.28833516629963851</v>
      </c>
      <c r="S61" s="155">
        <f t="shared" si="19"/>
        <v>0.29966188970932778</v>
      </c>
      <c r="T61" s="155">
        <f t="shared" si="20"/>
        <v>0.30821595185689715</v>
      </c>
      <c r="U61" s="29">
        <f t="shared" si="21"/>
        <v>0.32224612422269611</v>
      </c>
      <c r="V61" s="29">
        <f t="shared" si="22"/>
        <v>0</v>
      </c>
    </row>
    <row r="62" spans="1:22">
      <c r="A62" t="s">
        <v>369</v>
      </c>
      <c r="B62" s="9">
        <f>'ONT DIS $ 2005-06'!B33</f>
        <v>2028.5</v>
      </c>
      <c r="C62" s="9">
        <f>'ONT DIS $ 2008-09'!B34</f>
        <v>2282.1</v>
      </c>
      <c r="D62" s="9">
        <f>'ONT Disability details 09-10'!B34</f>
        <v>2342.3000000000002</v>
      </c>
      <c r="E62" s="29">
        <f t="shared" si="13"/>
        <v>0.15469558787281251</v>
      </c>
      <c r="F62" s="9">
        <f>'ONT Disability details 10-11'!B34</f>
        <v>2263.6</v>
      </c>
      <c r="G62" s="29">
        <f t="shared" si="17"/>
        <v>0.11589844712841997</v>
      </c>
      <c r="H62" s="9">
        <f>'Ont Disability details 11-12'!B34</f>
        <v>2295.3000000000002</v>
      </c>
      <c r="I62" s="9"/>
      <c r="J62" s="9">
        <f>'ONT disability details 12-13'!B32</f>
        <v>2131.1999999999998</v>
      </c>
      <c r="K62" s="9"/>
      <c r="L62" s="9">
        <f>'ONT Disability details 13-14'!B32</f>
        <v>2014.5</v>
      </c>
      <c r="M62" s="9"/>
      <c r="N62" s="29">
        <f t="shared" si="18"/>
        <v>-6.9016514666009367E-3</v>
      </c>
      <c r="O62" s="29"/>
      <c r="P62" s="29">
        <f t="shared" si="14"/>
        <v>0.2149165771931397</v>
      </c>
      <c r="Q62" s="29">
        <f t="shared" si="15"/>
        <v>0.20552875132975415</v>
      </c>
      <c r="R62" s="29">
        <f t="shared" si="16"/>
        <v>0.20102495521030453</v>
      </c>
      <c r="S62" s="29">
        <f t="shared" si="19"/>
        <v>0.18834383003219082</v>
      </c>
      <c r="T62" s="29">
        <f t="shared" si="20"/>
        <v>0.18308484355051147</v>
      </c>
      <c r="U62" s="29">
        <f t="shared" si="21"/>
        <v>0.16745005299316468</v>
      </c>
      <c r="V62" s="29">
        <f t="shared" si="22"/>
        <v>0.15355998174278915</v>
      </c>
    </row>
    <row r="63" spans="1:22">
      <c r="A63" t="s">
        <v>180</v>
      </c>
      <c r="B63" s="9">
        <f>'ONT DIS $ 2005-06'!B38</f>
        <v>1907</v>
      </c>
      <c r="C63" s="9">
        <f>'ONT DIS $ 2008-09'!B39</f>
        <v>2385</v>
      </c>
      <c r="D63" s="9">
        <f>'ONT Disability details 09-10'!B39</f>
        <v>2412</v>
      </c>
      <c r="E63" s="29">
        <f t="shared" si="13"/>
        <v>0.264813843733613</v>
      </c>
      <c r="F63" s="9">
        <f>'ONT Disability details 10-11'!B39</f>
        <v>2459</v>
      </c>
      <c r="G63" s="29">
        <f t="shared" si="17"/>
        <v>0.28945988463555322</v>
      </c>
      <c r="H63" s="9">
        <f>'Ont Disability details 11-12'!B39</f>
        <v>2540</v>
      </c>
      <c r="I63" s="9"/>
      <c r="J63" s="9">
        <f>'ONT disability details 12-13'!B40</f>
        <v>2599</v>
      </c>
      <c r="K63" s="9"/>
      <c r="L63" s="9">
        <f>'ONT Disability details 13-14'!B40</f>
        <v>2860</v>
      </c>
      <c r="M63" s="9"/>
      <c r="N63" s="29">
        <f t="shared" si="18"/>
        <v>0.49973780807551127</v>
      </c>
      <c r="O63" s="29"/>
      <c r="P63" s="29">
        <f t="shared" si="14"/>
        <v>0.20204383175120405</v>
      </c>
      <c r="Q63" s="29">
        <f t="shared" si="15"/>
        <v>0.2147960527240102</v>
      </c>
      <c r="R63" s="29">
        <f t="shared" si="16"/>
        <v>0.20700687015636532</v>
      </c>
      <c r="S63" s="29">
        <f t="shared" si="19"/>
        <v>0.2046021726670601</v>
      </c>
      <c r="T63" s="29">
        <f t="shared" si="20"/>
        <v>0.20260336453548516</v>
      </c>
      <c r="U63" s="29">
        <f t="shared" si="21"/>
        <v>0.20420546533841732</v>
      </c>
      <c r="V63" s="29">
        <f t="shared" si="22"/>
        <v>0.21801019994260459</v>
      </c>
    </row>
    <row r="64" spans="1:22">
      <c r="B64" s="9">
        <f>SUM(B55:B63)-B61</f>
        <v>9438.5460000000003</v>
      </c>
      <c r="C64" s="9">
        <f>SUM(C55:C63)-C61</f>
        <v>11103.556</v>
      </c>
      <c r="D64" s="9">
        <f>SUM(D55:D63)-D61</f>
        <v>11651.787200000002</v>
      </c>
      <c r="E64" s="111">
        <f t="shared" si="13"/>
        <v>0.23448963431443806</v>
      </c>
      <c r="F64" s="9">
        <f>SUM(F55:F63)-F61</f>
        <v>12018.445200000002</v>
      </c>
      <c r="G64" s="29">
        <f t="shared" si="17"/>
        <v>0.27333650755105732</v>
      </c>
      <c r="H64" s="9">
        <f>SUM(H55:H63)-H61</f>
        <v>12536.81056</v>
      </c>
      <c r="I64" s="9"/>
      <c r="J64" s="9">
        <f>SUM(J55:J63)-J61</f>
        <v>12727.377279999999</v>
      </c>
      <c r="K64" s="9"/>
      <c r="L64" s="9">
        <f>SUM(L55:L63)-L61</f>
        <v>13118.652250000001</v>
      </c>
      <c r="M64" s="9"/>
      <c r="N64" s="29">
        <f t="shared" si="18"/>
        <v>0.38990181856400347</v>
      </c>
      <c r="O64" s="29"/>
      <c r="P64" s="29">
        <f>SUM(P55:P63)-P61</f>
        <v>1</v>
      </c>
      <c r="Q64" s="29">
        <f>SUM(Q55:Q63)-Q61</f>
        <v>1</v>
      </c>
      <c r="R64" s="29">
        <f>SUM(R55:R63)-R61</f>
        <v>0.99999999999999956</v>
      </c>
      <c r="S64" s="29">
        <f>SUM(S55:S63)-S61</f>
        <v>1</v>
      </c>
      <c r="T64" s="29">
        <f t="shared" si="20"/>
        <v>1</v>
      </c>
      <c r="U64" s="29">
        <f t="shared" si="21"/>
        <v>1</v>
      </c>
      <c r="V64" s="29">
        <f t="shared" si="22"/>
        <v>1</v>
      </c>
    </row>
    <row r="66" spans="1:6">
      <c r="A66" s="107" t="s">
        <v>348</v>
      </c>
    </row>
    <row r="67" spans="1:6">
      <c r="A67" s="52" t="s">
        <v>319</v>
      </c>
    </row>
    <row r="68" spans="1:6">
      <c r="A68" s="52" t="s">
        <v>562</v>
      </c>
    </row>
    <row r="69" spans="1:6">
      <c r="A69" s="198" t="s">
        <v>603</v>
      </c>
      <c r="B69" s="153"/>
      <c r="C69" s="153"/>
      <c r="D69" s="153"/>
      <c r="E69" s="153"/>
      <c r="F69" s="153"/>
    </row>
    <row r="70" spans="1:6">
      <c r="A70" s="217" t="s">
        <v>672</v>
      </c>
      <c r="B70" s="153"/>
      <c r="C70" s="153"/>
      <c r="D70" s="153"/>
      <c r="E70" s="153"/>
      <c r="F70" s="153"/>
    </row>
    <row r="71" spans="1:6">
      <c r="A71" s="52" t="s">
        <v>805</v>
      </c>
    </row>
    <row r="72" spans="1:6">
      <c r="A72" s="52" t="s">
        <v>821</v>
      </c>
    </row>
  </sheetData>
  <pageMargins left="0.74803149606299213" right="0.74803149606299213" top="0.98425196850393704" bottom="0.98425196850393704" header="0.51181102362204722" footer="0.51181102362204722"/>
  <pageSetup scale="95" fitToHeight="2" orientation="landscape" horizontalDpi="300" verticalDpi="0" r:id="rId1"/>
  <headerFooter alignWithMargins="0"/>
</worksheet>
</file>

<file path=xl/worksheets/sheet12.xml><?xml version="1.0" encoding="utf-8"?>
<worksheet xmlns="http://schemas.openxmlformats.org/spreadsheetml/2006/main" xmlns:r="http://schemas.openxmlformats.org/officeDocument/2006/relationships">
  <sheetPr>
    <tabColor rgb="FFFF0000"/>
  </sheetPr>
  <dimension ref="A1:U99"/>
  <sheetViews>
    <sheetView workbookViewId="0">
      <selection activeCell="B43" sqref="B43"/>
    </sheetView>
  </sheetViews>
  <sheetFormatPr defaultRowHeight="12.75"/>
  <cols>
    <col min="1" max="1" width="35.42578125" customWidth="1"/>
    <col min="2" max="2" width="15.7109375" customWidth="1"/>
    <col min="3" max="3" width="2.7109375" customWidth="1"/>
    <col min="11" max="11" width="9.28515625" bestFit="1" customWidth="1"/>
  </cols>
  <sheetData>
    <row r="1" spans="1:12">
      <c r="B1" s="286" t="s">
        <v>172</v>
      </c>
      <c r="C1" s="286"/>
    </row>
    <row r="2" spans="1:12">
      <c r="B2" s="286" t="s">
        <v>824</v>
      </c>
      <c r="C2" s="286"/>
    </row>
    <row r="3" spans="1:12">
      <c r="B3" s="286" t="s">
        <v>16</v>
      </c>
      <c r="C3" s="286"/>
      <c r="D3" s="2" t="s">
        <v>59</v>
      </c>
      <c r="L3" s="2" t="s">
        <v>92</v>
      </c>
    </row>
    <row r="4" spans="1:12">
      <c r="A4" s="2" t="s">
        <v>11</v>
      </c>
      <c r="B4" s="2"/>
    </row>
    <row r="6" spans="1:12">
      <c r="A6" t="s">
        <v>0</v>
      </c>
      <c r="B6" s="9">
        <f>'CAN Disability detailes 13-14'!B6*0.386</f>
        <v>277.92</v>
      </c>
      <c r="C6" s="35" t="s">
        <v>437</v>
      </c>
      <c r="D6" s="52" t="s">
        <v>871</v>
      </c>
      <c r="L6" s="145" t="s">
        <v>810</v>
      </c>
    </row>
    <row r="7" spans="1:12">
      <c r="A7" t="s">
        <v>1</v>
      </c>
      <c r="B7" s="9">
        <f>'CAN Disability detailes 13-14'!B7*0.386</f>
        <v>499.87</v>
      </c>
      <c r="C7" s="35" t="s">
        <v>437</v>
      </c>
      <c r="D7" s="52" t="s">
        <v>757</v>
      </c>
      <c r="H7" t="s">
        <v>93</v>
      </c>
      <c r="L7" s="39" t="s">
        <v>752</v>
      </c>
    </row>
    <row r="8" spans="1:12">
      <c r="A8" t="s">
        <v>14</v>
      </c>
      <c r="B8" s="9">
        <f>'CAN Disability detailes 13-14'!B8*0.386</f>
        <v>42.46</v>
      </c>
      <c r="C8" s="35" t="s">
        <v>437</v>
      </c>
      <c r="D8" s="52" t="s">
        <v>759</v>
      </c>
      <c r="L8" s="39"/>
    </row>
    <row r="9" spans="1:12">
      <c r="A9" t="s">
        <v>2</v>
      </c>
      <c r="B9" s="9">
        <f>'CAN Disability detailes 13-14'!B9*0.386</f>
        <v>2.3159999999999998</v>
      </c>
      <c r="C9" s="35" t="s">
        <v>437</v>
      </c>
      <c r="L9" s="39"/>
    </row>
    <row r="10" spans="1:12">
      <c r="A10" s="52" t="s">
        <v>273</v>
      </c>
      <c r="B10" s="9">
        <f>'CAN Disability detailes 13-14'!B10*0.386</f>
        <v>0</v>
      </c>
      <c r="C10" s="35" t="s">
        <v>437</v>
      </c>
      <c r="L10" s="39"/>
    </row>
    <row r="11" spans="1:12">
      <c r="A11" t="s">
        <v>3</v>
      </c>
      <c r="B11" s="9">
        <f>'CAN Disability detailes 13-14'!B11*0.386</f>
        <v>55.97</v>
      </c>
      <c r="C11" s="35" t="s">
        <v>437</v>
      </c>
      <c r="L11" s="39"/>
    </row>
    <row r="12" spans="1:12">
      <c r="A12" t="s">
        <v>15</v>
      </c>
      <c r="B12" s="9">
        <f>'CAN Disability detailes 13-14'!B12*0.386</f>
        <v>94.811250000000001</v>
      </c>
      <c r="C12" s="35" t="s">
        <v>437</v>
      </c>
      <c r="D12" s="248" t="s">
        <v>908</v>
      </c>
      <c r="E12" s="249"/>
      <c r="F12" s="249"/>
      <c r="G12" s="249"/>
      <c r="H12" s="30"/>
      <c r="I12" s="30"/>
      <c r="J12" s="30"/>
      <c r="K12" s="171"/>
      <c r="L12" s="145"/>
    </row>
    <row r="13" spans="1:12">
      <c r="A13" s="3" t="s">
        <v>24</v>
      </c>
      <c r="B13" s="21">
        <f>SUM(B6:B12)</f>
        <v>973.34725000000003</v>
      </c>
      <c r="C13" s="35" t="s">
        <v>437</v>
      </c>
      <c r="D13" s="6"/>
      <c r="K13" s="111"/>
      <c r="L13" s="39"/>
    </row>
    <row r="14" spans="1:12">
      <c r="B14" s="9"/>
      <c r="C14" s="35"/>
      <c r="K14" s="29"/>
      <c r="L14" s="39"/>
    </row>
    <row r="15" spans="1:12">
      <c r="A15" s="2" t="s">
        <v>4</v>
      </c>
      <c r="B15" s="8"/>
      <c r="C15" s="35"/>
      <c r="K15" s="29"/>
      <c r="L15" s="39"/>
    </row>
    <row r="16" spans="1:12">
      <c r="A16" t="s">
        <v>5</v>
      </c>
      <c r="B16" s="9">
        <v>1979.9</v>
      </c>
      <c r="C16" s="35"/>
      <c r="D16" s="52" t="s">
        <v>747</v>
      </c>
      <c r="E16" s="30"/>
      <c r="F16" s="30"/>
      <c r="G16" s="30"/>
      <c r="H16" s="30"/>
      <c r="I16" s="30"/>
      <c r="J16" s="30"/>
      <c r="K16" s="172"/>
      <c r="L16" s="39" t="s">
        <v>693</v>
      </c>
    </row>
    <row r="17" spans="1:19" ht="12.75" customHeight="1">
      <c r="A17" t="s">
        <v>69</v>
      </c>
      <c r="B17" s="9"/>
      <c r="C17" s="35"/>
      <c r="D17" s="321" t="s">
        <v>748</v>
      </c>
      <c r="E17" s="321"/>
      <c r="F17" s="321"/>
      <c r="G17" s="321"/>
      <c r="H17" s="321"/>
      <c r="I17" s="321"/>
      <c r="J17" s="321"/>
      <c r="K17" s="172"/>
      <c r="L17" s="39" t="s">
        <v>693</v>
      </c>
    </row>
    <row r="18" spans="1:19">
      <c r="A18" t="s">
        <v>6</v>
      </c>
      <c r="B18" s="9">
        <v>368.9</v>
      </c>
      <c r="C18" s="156"/>
      <c r="D18" s="120" t="s">
        <v>694</v>
      </c>
      <c r="E18" s="103"/>
      <c r="F18" s="103"/>
      <c r="G18" s="103"/>
      <c r="H18" s="103"/>
      <c r="I18" s="103"/>
      <c r="J18" s="103"/>
      <c r="K18" s="111"/>
      <c r="L18" s="145" t="s">
        <v>519</v>
      </c>
      <c r="N18" s="103"/>
      <c r="O18" s="103"/>
      <c r="P18" s="103"/>
      <c r="Q18" s="103"/>
      <c r="R18" s="103"/>
      <c r="S18" s="103"/>
    </row>
    <row r="19" spans="1:19">
      <c r="A19" s="3" t="s">
        <v>24</v>
      </c>
      <c r="B19" s="21">
        <f>SUM(B16:B18)</f>
        <v>2348.8000000000002</v>
      </c>
      <c r="C19" s="36"/>
      <c r="K19" s="29"/>
      <c r="L19" s="39"/>
    </row>
    <row r="20" spans="1:19">
      <c r="B20" s="9"/>
      <c r="C20" s="35"/>
      <c r="K20" s="29"/>
    </row>
    <row r="21" spans="1:19">
      <c r="A21" s="2" t="s">
        <v>99</v>
      </c>
      <c r="B21" s="8"/>
      <c r="C21" s="35"/>
      <c r="K21" s="29"/>
    </row>
    <row r="22" spans="1:19">
      <c r="A22" t="s">
        <v>101</v>
      </c>
      <c r="B22" s="9">
        <v>526.5</v>
      </c>
      <c r="C22" s="35"/>
      <c r="D22" t="s">
        <v>779</v>
      </c>
      <c r="K22" s="29"/>
      <c r="L22" s="52" t="s">
        <v>713</v>
      </c>
    </row>
    <row r="23" spans="1:19">
      <c r="A23" t="s">
        <v>709</v>
      </c>
      <c r="B23" s="9">
        <v>153.4</v>
      </c>
      <c r="C23" s="35"/>
      <c r="K23" s="29"/>
      <c r="L23" s="52"/>
    </row>
    <row r="24" spans="1:19">
      <c r="A24" s="3" t="s">
        <v>24</v>
      </c>
      <c r="B24" s="21">
        <f>SUM(B22:B23)</f>
        <v>679.9</v>
      </c>
      <c r="C24" s="36"/>
      <c r="K24" s="29"/>
    </row>
    <row r="25" spans="1:19">
      <c r="B25" s="9"/>
      <c r="C25" s="35"/>
      <c r="K25" s="29"/>
    </row>
    <row r="26" spans="1:19">
      <c r="A26" s="2" t="s">
        <v>18</v>
      </c>
      <c r="B26" s="8"/>
      <c r="C26" s="35"/>
      <c r="I26" s="9"/>
      <c r="K26" s="29"/>
    </row>
    <row r="27" spans="1:19">
      <c r="A27" t="s">
        <v>17</v>
      </c>
      <c r="B27" s="9">
        <f>'SA $ by prov 13-14'!B15</f>
        <v>4165.7</v>
      </c>
      <c r="C27" s="35"/>
      <c r="D27" s="52" t="s">
        <v>909</v>
      </c>
      <c r="K27" s="29"/>
      <c r="L27" s="52" t="s">
        <v>910</v>
      </c>
    </row>
    <row r="28" spans="1:19">
      <c r="A28" t="s">
        <v>12</v>
      </c>
      <c r="B28" s="9">
        <f>129.5*0.59</f>
        <v>76.405000000000001</v>
      </c>
      <c r="C28" s="35" t="s">
        <v>437</v>
      </c>
      <c r="D28" s="106" t="s">
        <v>1016</v>
      </c>
      <c r="K28" s="29"/>
      <c r="L28" t="s">
        <v>786</v>
      </c>
    </row>
    <row r="29" spans="1:19">
      <c r="A29" s="3" t="s">
        <v>24</v>
      </c>
      <c r="B29" s="21">
        <f>SUM(B27:B28)</f>
        <v>4242.1049999999996</v>
      </c>
      <c r="C29" s="36"/>
      <c r="K29" s="29"/>
    </row>
    <row r="30" spans="1:19">
      <c r="B30" s="9"/>
      <c r="C30" s="35"/>
      <c r="K30" s="29"/>
    </row>
    <row r="31" spans="1:19">
      <c r="A31" s="2" t="s">
        <v>13</v>
      </c>
      <c r="B31" s="8"/>
      <c r="C31" s="35"/>
      <c r="K31" s="29"/>
    </row>
    <row r="32" spans="1:19">
      <c r="A32" t="s">
        <v>7</v>
      </c>
      <c r="B32" s="9">
        <v>2014.5</v>
      </c>
      <c r="C32" s="35"/>
      <c r="D32" s="52" t="s">
        <v>974</v>
      </c>
      <c r="L32" s="145" t="s">
        <v>205</v>
      </c>
    </row>
    <row r="33" spans="1:21">
      <c r="B33" s="9"/>
      <c r="C33" s="35"/>
      <c r="D33" s="52" t="s">
        <v>1009</v>
      </c>
      <c r="L33" s="39" t="s">
        <v>206</v>
      </c>
      <c r="U33">
        <v>0.09</v>
      </c>
    </row>
    <row r="34" spans="1:21">
      <c r="A34" t="s">
        <v>8</v>
      </c>
      <c r="B34" s="9"/>
      <c r="C34" s="35"/>
      <c r="D34" s="6"/>
      <c r="K34" s="29"/>
    </row>
    <row r="35" spans="1:21">
      <c r="A35" s="3" t="s">
        <v>57</v>
      </c>
      <c r="B35" s="21">
        <f>SUM(B32:B34)</f>
        <v>2014.5</v>
      </c>
      <c r="C35" s="36"/>
      <c r="K35" s="29"/>
    </row>
    <row r="36" spans="1:21">
      <c r="A36" s="3"/>
      <c r="B36" s="21"/>
      <c r="C36" s="35"/>
      <c r="K36" s="29"/>
    </row>
    <row r="37" spans="1:21">
      <c r="A37" s="2" t="s">
        <v>64</v>
      </c>
      <c r="B37" s="8"/>
      <c r="C37" s="35"/>
      <c r="K37" s="29"/>
    </row>
    <row r="38" spans="1:21">
      <c r="A38" t="s">
        <v>9</v>
      </c>
      <c r="B38" s="9">
        <v>535</v>
      </c>
      <c r="C38" s="35"/>
      <c r="D38" s="52" t="s">
        <v>742</v>
      </c>
      <c r="K38" s="29"/>
      <c r="L38" t="s">
        <v>75</v>
      </c>
    </row>
    <row r="39" spans="1:21">
      <c r="A39" t="s">
        <v>10</v>
      </c>
      <c r="B39" s="9">
        <v>2325</v>
      </c>
      <c r="C39" s="35"/>
      <c r="D39" s="52" t="s">
        <v>742</v>
      </c>
      <c r="K39" s="29"/>
      <c r="L39" t="s">
        <v>692</v>
      </c>
    </row>
    <row r="40" spans="1:21">
      <c r="A40" s="3" t="s">
        <v>24</v>
      </c>
      <c r="B40" s="21">
        <f>SUM(B38:B39)</f>
        <v>2860</v>
      </c>
      <c r="C40" s="36"/>
      <c r="K40" s="29"/>
    </row>
    <row r="41" spans="1:21">
      <c r="B41" s="9"/>
      <c r="C41" s="35"/>
      <c r="K41" s="29"/>
    </row>
    <row r="42" spans="1:21" ht="15.75">
      <c r="A42" s="4" t="s">
        <v>23</v>
      </c>
      <c r="B42" s="159">
        <f>B13+B19+B24+B29+B35+B40</f>
        <v>13118.652249999999</v>
      </c>
      <c r="C42" s="37"/>
      <c r="K42" s="29"/>
    </row>
    <row r="43" spans="1:21" ht="15.75">
      <c r="A43" s="4"/>
      <c r="B43" s="4"/>
    </row>
    <row r="45" spans="1:21">
      <c r="A45" s="52"/>
      <c r="B45" s="52"/>
    </row>
    <row r="46" spans="1:21">
      <c r="A46" s="39"/>
      <c r="B46" s="39"/>
    </row>
    <row r="47" spans="1:21">
      <c r="C47" s="103"/>
      <c r="D47" s="107"/>
      <c r="L47" s="2"/>
    </row>
    <row r="48" spans="1:21">
      <c r="A48" s="52"/>
      <c r="B48" s="52"/>
    </row>
    <row r="49" spans="1:11">
      <c r="A49" s="52"/>
      <c r="B49" s="52"/>
    </row>
    <row r="50" spans="1:11">
      <c r="C50" s="287"/>
    </row>
    <row r="51" spans="1:11">
      <c r="C51" s="287"/>
    </row>
    <row r="52" spans="1:11">
      <c r="C52" s="287"/>
    </row>
    <row r="53" spans="1:11">
      <c r="C53" s="287"/>
    </row>
    <row r="54" spans="1:11">
      <c r="C54" s="287"/>
    </row>
    <row r="55" spans="1:11">
      <c r="C55" s="287"/>
    </row>
    <row r="56" spans="1:11">
      <c r="C56" s="287"/>
      <c r="K56" s="7"/>
    </row>
    <row r="57" spans="1:11">
      <c r="A57" s="3"/>
      <c r="B57" s="3"/>
      <c r="C57" s="287"/>
      <c r="K57" s="7"/>
    </row>
    <row r="58" spans="1:11">
      <c r="C58" s="287"/>
      <c r="K58" s="7"/>
    </row>
    <row r="59" spans="1:11">
      <c r="A59" s="2"/>
      <c r="B59" s="2"/>
      <c r="C59" s="287"/>
      <c r="K59" s="7"/>
    </row>
    <row r="60" spans="1:11">
      <c r="C60" s="287"/>
      <c r="K60" s="7"/>
    </row>
    <row r="61" spans="1:11">
      <c r="C61" s="287"/>
      <c r="K61" s="7"/>
    </row>
    <row r="62" spans="1:11">
      <c r="C62" s="287"/>
      <c r="K62" s="7"/>
    </row>
    <row r="63" spans="1:11">
      <c r="A63" s="3"/>
      <c r="B63" s="3"/>
      <c r="C63" s="287"/>
      <c r="K63" s="7"/>
    </row>
    <row r="64" spans="1:11">
      <c r="C64" s="287"/>
      <c r="K64" s="7"/>
    </row>
    <row r="65" spans="1:11">
      <c r="A65" s="2"/>
      <c r="B65" s="2"/>
      <c r="C65" s="287"/>
      <c r="K65" s="7"/>
    </row>
    <row r="66" spans="1:11">
      <c r="C66" s="287"/>
      <c r="K66" s="7"/>
    </row>
    <row r="67" spans="1:11">
      <c r="A67" s="3"/>
      <c r="B67" s="3"/>
      <c r="C67" s="287"/>
      <c r="K67" s="7"/>
    </row>
    <row r="68" spans="1:11">
      <c r="C68" s="287"/>
      <c r="K68" s="7"/>
    </row>
    <row r="69" spans="1:11">
      <c r="A69" s="2"/>
      <c r="B69" s="2"/>
      <c r="C69" s="287"/>
      <c r="I69" s="9"/>
      <c r="K69" s="7"/>
    </row>
    <row r="70" spans="1:11">
      <c r="C70" s="287"/>
      <c r="K70" s="7"/>
    </row>
    <row r="71" spans="1:11">
      <c r="C71" s="287"/>
      <c r="K71" s="7"/>
    </row>
    <row r="72" spans="1:11">
      <c r="A72" s="3"/>
      <c r="B72" s="3"/>
      <c r="C72" s="287"/>
      <c r="K72" s="7"/>
    </row>
    <row r="73" spans="1:11">
      <c r="C73" s="287"/>
      <c r="K73" s="7"/>
    </row>
    <row r="74" spans="1:11">
      <c r="A74" s="2"/>
      <c r="B74" s="2"/>
      <c r="C74" s="287"/>
      <c r="K74" s="7"/>
    </row>
    <row r="75" spans="1:11">
      <c r="C75" s="287"/>
      <c r="K75" s="7"/>
    </row>
    <row r="76" spans="1:11">
      <c r="C76" s="287"/>
      <c r="K76" s="7"/>
    </row>
    <row r="77" spans="1:11">
      <c r="A77" s="3"/>
      <c r="B77" s="3"/>
      <c r="C77" s="287"/>
      <c r="K77" s="7"/>
    </row>
    <row r="78" spans="1:11">
      <c r="C78" s="287"/>
      <c r="K78" s="7"/>
    </row>
    <row r="79" spans="1:11">
      <c r="C79" s="287"/>
      <c r="K79" s="7"/>
    </row>
    <row r="80" spans="1:11">
      <c r="C80" s="287"/>
      <c r="K80" s="7"/>
    </row>
    <row r="81" spans="1:11">
      <c r="A81" s="3"/>
      <c r="B81" s="3"/>
      <c r="C81" s="287"/>
      <c r="K81" s="7"/>
    </row>
    <row r="82" spans="1:11">
      <c r="C82" s="287"/>
    </row>
    <row r="83" spans="1:11" ht="15.75">
      <c r="A83" s="4"/>
      <c r="B83" s="4"/>
    </row>
    <row r="84" spans="1:11" ht="15.75">
      <c r="A84" s="4"/>
      <c r="B84" s="4"/>
    </row>
    <row r="85" spans="1:11" ht="15.75">
      <c r="A85" s="4"/>
      <c r="B85" s="4"/>
    </row>
    <row r="96" spans="1:11">
      <c r="D96" s="7"/>
    </row>
    <row r="97" spans="4:4">
      <c r="D97" s="7"/>
    </row>
    <row r="98" spans="4:4">
      <c r="D98" s="7"/>
    </row>
    <row r="99" spans="4:4">
      <c r="D99" s="7"/>
    </row>
  </sheetData>
  <mergeCells count="1">
    <mergeCell ref="D17:J17"/>
  </mergeCells>
  <hyperlinks>
    <hyperlink ref="L18" r:id="rId1"/>
    <hyperlink ref="L32" r:id="rId2"/>
  </hyperlinks>
  <pageMargins left="0.70866141732283472" right="0.70866141732283472" top="0.74803149606299213" bottom="0.74803149606299213" header="0.31496062992125984" footer="0.31496062992125984"/>
  <pageSetup scale="90" orientation="landscape" verticalDpi="0" r:id="rId3"/>
</worksheet>
</file>

<file path=xl/worksheets/sheet13.xml><?xml version="1.0" encoding="utf-8"?>
<worksheet xmlns="http://schemas.openxmlformats.org/spreadsheetml/2006/main" xmlns:r="http://schemas.openxmlformats.org/officeDocument/2006/relationships">
  <sheetPr>
    <tabColor rgb="FFFF0000"/>
  </sheetPr>
  <dimension ref="A1:U99"/>
  <sheetViews>
    <sheetView topLeftCell="A19" workbookViewId="0">
      <selection activeCell="K43" sqref="A1:K43"/>
    </sheetView>
  </sheetViews>
  <sheetFormatPr defaultRowHeight="12.75"/>
  <cols>
    <col min="1" max="1" width="35.42578125" customWidth="1"/>
    <col min="2" max="2" width="15.7109375" customWidth="1"/>
    <col min="3" max="3" width="2.7109375" customWidth="1"/>
    <col min="11" max="11" width="9.28515625" bestFit="1" customWidth="1"/>
  </cols>
  <sheetData>
    <row r="1" spans="1:12">
      <c r="B1" s="286" t="s">
        <v>172</v>
      </c>
      <c r="C1" s="286"/>
    </row>
    <row r="2" spans="1:12">
      <c r="B2" s="286" t="s">
        <v>823</v>
      </c>
      <c r="C2" s="286"/>
    </row>
    <row r="3" spans="1:12">
      <c r="B3" s="286" t="s">
        <v>16</v>
      </c>
      <c r="C3" s="286"/>
      <c r="D3" s="2" t="s">
        <v>59</v>
      </c>
      <c r="L3" s="2" t="s">
        <v>92</v>
      </c>
    </row>
    <row r="4" spans="1:12">
      <c r="A4" s="2" t="s">
        <v>11</v>
      </c>
      <c r="B4" s="2"/>
    </row>
    <row r="6" spans="1:12">
      <c r="A6" t="s">
        <v>0</v>
      </c>
      <c r="B6" s="9">
        <f>'CAN Disability details 12-13'!B6*0.386</f>
        <v>266.34000000000003</v>
      </c>
      <c r="C6" s="35" t="s">
        <v>437</v>
      </c>
      <c r="D6" s="52" t="s">
        <v>871</v>
      </c>
      <c r="L6" s="145" t="s">
        <v>810</v>
      </c>
    </row>
    <row r="7" spans="1:12">
      <c r="A7" t="s">
        <v>1</v>
      </c>
      <c r="B7" s="9">
        <f>'CAN Disability details 12-13'!B7*0.386</f>
        <v>463.2</v>
      </c>
      <c r="C7" s="35" t="s">
        <v>437</v>
      </c>
      <c r="D7" s="52" t="s">
        <v>757</v>
      </c>
      <c r="H7" t="s">
        <v>93</v>
      </c>
      <c r="L7" s="39" t="s">
        <v>752</v>
      </c>
    </row>
    <row r="8" spans="1:12">
      <c r="A8" t="s">
        <v>14</v>
      </c>
      <c r="B8" s="9">
        <f>'CAN Disability details 12-13'!B8*0.386</f>
        <v>40.53</v>
      </c>
      <c r="C8" s="35" t="s">
        <v>437</v>
      </c>
      <c r="D8" s="52" t="s">
        <v>759</v>
      </c>
      <c r="L8" s="39"/>
    </row>
    <row r="9" spans="1:12">
      <c r="A9" t="s">
        <v>2</v>
      </c>
      <c r="B9" s="9">
        <f>'CAN Disability details 12-13'!B9*0.386</f>
        <v>1.9300000000000002</v>
      </c>
      <c r="C9" s="35" t="s">
        <v>437</v>
      </c>
      <c r="L9" s="39"/>
    </row>
    <row r="10" spans="1:12">
      <c r="A10" s="52" t="s">
        <v>273</v>
      </c>
      <c r="B10" s="9">
        <f>'CAN Disability details 12-13'!B10*0.386</f>
        <v>0</v>
      </c>
      <c r="C10" s="35" t="s">
        <v>437</v>
      </c>
      <c r="L10" s="39"/>
    </row>
    <row r="11" spans="1:12">
      <c r="A11" t="s">
        <v>3</v>
      </c>
      <c r="B11" s="9">
        <f>'CAN Disability details 12-13'!B11*0.386</f>
        <v>54.04</v>
      </c>
      <c r="C11" s="35" t="s">
        <v>437</v>
      </c>
      <c r="L11" s="39"/>
    </row>
    <row r="12" spans="1:12">
      <c r="A12" t="s">
        <v>15</v>
      </c>
      <c r="B12" s="9">
        <f>'CAN Disability details 12-13'!B12*0.386</f>
        <v>102.08928000000002</v>
      </c>
      <c r="C12" s="35" t="s">
        <v>437</v>
      </c>
      <c r="D12" s="248" t="s">
        <v>901</v>
      </c>
      <c r="E12" s="249"/>
      <c r="F12" s="249"/>
      <c r="G12" s="249"/>
      <c r="H12" s="30"/>
      <c r="I12" s="30"/>
      <c r="J12" s="30"/>
      <c r="K12" s="171"/>
      <c r="L12" s="145"/>
    </row>
    <row r="13" spans="1:12">
      <c r="A13" s="3" t="s">
        <v>24</v>
      </c>
      <c r="B13" s="21">
        <f>SUM(B6:B12)</f>
        <v>928.12927999999988</v>
      </c>
      <c r="C13" s="35" t="s">
        <v>437</v>
      </c>
      <c r="D13" s="6"/>
      <c r="K13" s="111"/>
      <c r="L13" s="39"/>
    </row>
    <row r="14" spans="1:12">
      <c r="B14" s="9"/>
      <c r="C14" s="35"/>
      <c r="K14" s="29"/>
      <c r="L14" s="39"/>
    </row>
    <row r="15" spans="1:12">
      <c r="A15" s="2" t="s">
        <v>4</v>
      </c>
      <c r="B15" s="8"/>
      <c r="C15" s="35"/>
      <c r="K15" s="29"/>
      <c r="L15" s="39"/>
    </row>
    <row r="16" spans="1:12">
      <c r="A16" t="s">
        <v>5</v>
      </c>
      <c r="B16" s="9">
        <v>1952.6</v>
      </c>
      <c r="C16" s="35"/>
      <c r="D16" s="52" t="s">
        <v>747</v>
      </c>
      <c r="E16" s="30"/>
      <c r="F16" s="30"/>
      <c r="G16" s="30"/>
      <c r="H16" s="30"/>
      <c r="I16" s="30"/>
      <c r="J16" s="30"/>
      <c r="K16" s="172"/>
      <c r="L16" s="39" t="s">
        <v>693</v>
      </c>
    </row>
    <row r="17" spans="1:19" ht="12.75" customHeight="1">
      <c r="A17" t="s">
        <v>69</v>
      </c>
      <c r="B17" s="9"/>
      <c r="C17" s="35"/>
      <c r="D17" s="321" t="s">
        <v>748</v>
      </c>
      <c r="E17" s="321"/>
      <c r="F17" s="321"/>
      <c r="G17" s="321"/>
      <c r="H17" s="321"/>
      <c r="I17" s="321"/>
      <c r="J17" s="321"/>
      <c r="K17" s="172"/>
      <c r="L17" s="39" t="s">
        <v>693</v>
      </c>
    </row>
    <row r="18" spans="1:19">
      <c r="A18" t="s">
        <v>6</v>
      </c>
      <c r="B18" s="9">
        <v>331.8</v>
      </c>
      <c r="C18" s="156"/>
      <c r="D18" s="120" t="s">
        <v>694</v>
      </c>
      <c r="E18" s="103"/>
      <c r="F18" s="103"/>
      <c r="G18" s="103"/>
      <c r="H18" s="103"/>
      <c r="I18" s="103"/>
      <c r="J18" s="103"/>
      <c r="K18" s="111"/>
      <c r="L18" s="145" t="s">
        <v>519</v>
      </c>
      <c r="N18" s="103"/>
      <c r="O18" s="103"/>
      <c r="P18" s="103"/>
      <c r="Q18" s="103"/>
      <c r="R18" s="103"/>
      <c r="S18" s="103"/>
    </row>
    <row r="19" spans="1:19">
      <c r="A19" s="3" t="s">
        <v>24</v>
      </c>
      <c r="B19" s="21">
        <f>SUM(B16:B18)</f>
        <v>2284.4</v>
      </c>
      <c r="C19" s="36"/>
      <c r="K19" s="29"/>
      <c r="L19" s="39"/>
    </row>
    <row r="20" spans="1:19">
      <c r="B20" s="9"/>
      <c r="C20" s="35"/>
      <c r="K20" s="29"/>
    </row>
    <row r="21" spans="1:19">
      <c r="A21" s="2" t="s">
        <v>99</v>
      </c>
      <c r="B21" s="8"/>
      <c r="C21" s="35"/>
      <c r="K21" s="29"/>
    </row>
    <row r="22" spans="1:19">
      <c r="A22" t="s">
        <v>101</v>
      </c>
      <c r="B22" s="9">
        <v>550.70000000000005</v>
      </c>
      <c r="C22" s="35"/>
      <c r="D22" t="s">
        <v>779</v>
      </c>
      <c r="K22" s="29"/>
      <c r="L22" s="52" t="s">
        <v>713</v>
      </c>
    </row>
    <row r="23" spans="1:19">
      <c r="A23" t="s">
        <v>709</v>
      </c>
      <c r="B23" s="9">
        <v>132.6</v>
      </c>
      <c r="C23" s="35"/>
      <c r="K23" s="29"/>
      <c r="L23" s="52"/>
    </row>
    <row r="24" spans="1:19">
      <c r="A24" s="3" t="s">
        <v>24</v>
      </c>
      <c r="B24" s="21">
        <f>SUM(B22:B23)</f>
        <v>683.30000000000007</v>
      </c>
      <c r="C24" s="36"/>
      <c r="K24" s="29"/>
    </row>
    <row r="25" spans="1:19">
      <c r="B25" s="9"/>
      <c r="C25" s="35"/>
      <c r="K25" s="29"/>
    </row>
    <row r="26" spans="1:19">
      <c r="A26" s="2" t="s">
        <v>18</v>
      </c>
      <c r="B26" s="8"/>
      <c r="C26" s="35"/>
      <c r="I26" s="9"/>
      <c r="K26" s="29"/>
    </row>
    <row r="27" spans="1:19">
      <c r="A27" t="s">
        <v>17</v>
      </c>
      <c r="B27" s="9">
        <f>'SA $ by prov 12-13'!B15</f>
        <v>4029.3</v>
      </c>
      <c r="C27" s="35"/>
      <c r="D27" s="52" t="s">
        <v>1008</v>
      </c>
      <c r="K27" s="29"/>
      <c r="L27" s="52" t="s">
        <v>715</v>
      </c>
    </row>
    <row r="28" spans="1:19">
      <c r="A28" t="s">
        <v>12</v>
      </c>
      <c r="B28" s="9">
        <f>126.4*0.57</f>
        <v>72.048000000000002</v>
      </c>
      <c r="C28" s="35" t="s">
        <v>437</v>
      </c>
      <c r="D28" s="106" t="s">
        <v>807</v>
      </c>
      <c r="K28" s="29"/>
      <c r="L28" t="s">
        <v>786</v>
      </c>
    </row>
    <row r="29" spans="1:19">
      <c r="A29" s="3" t="s">
        <v>24</v>
      </c>
      <c r="B29" s="21">
        <f>SUM(B27:B28)</f>
        <v>4101.348</v>
      </c>
      <c r="C29" s="36"/>
      <c r="K29" s="29"/>
    </row>
    <row r="30" spans="1:19">
      <c r="B30" s="9"/>
      <c r="C30" s="35"/>
      <c r="K30" s="29"/>
    </row>
    <row r="31" spans="1:19">
      <c r="A31" s="2" t="s">
        <v>13</v>
      </c>
      <c r="B31" s="8"/>
      <c r="C31" s="35"/>
      <c r="K31" s="29"/>
    </row>
    <row r="32" spans="1:19">
      <c r="A32" t="s">
        <v>7</v>
      </c>
      <c r="B32" s="9">
        <v>2131.1999999999998</v>
      </c>
      <c r="C32" s="35"/>
      <c r="D32" s="52" t="s">
        <v>718</v>
      </c>
      <c r="L32" s="145"/>
    </row>
    <row r="33" spans="1:21">
      <c r="B33" s="9"/>
      <c r="C33" s="35"/>
      <c r="D33" s="52" t="s">
        <v>1009</v>
      </c>
      <c r="L33" s="39"/>
      <c r="U33">
        <v>0.09</v>
      </c>
    </row>
    <row r="34" spans="1:21">
      <c r="A34" t="s">
        <v>8</v>
      </c>
      <c r="B34" s="9"/>
      <c r="C34" s="35"/>
      <c r="D34" s="6"/>
      <c r="K34" s="29"/>
    </row>
    <row r="35" spans="1:21">
      <c r="A35" s="3" t="s">
        <v>57</v>
      </c>
      <c r="B35" s="21">
        <f>SUM(B32:B34)</f>
        <v>2131.1999999999998</v>
      </c>
      <c r="C35" s="36"/>
      <c r="K35" s="29"/>
    </row>
    <row r="36" spans="1:21">
      <c r="A36" s="3"/>
      <c r="B36" s="21"/>
      <c r="C36" s="35"/>
      <c r="K36" s="29"/>
    </row>
    <row r="37" spans="1:21">
      <c r="A37" s="2" t="s">
        <v>64</v>
      </c>
      <c r="B37" s="8"/>
      <c r="C37" s="35"/>
      <c r="K37" s="29"/>
    </row>
    <row r="38" spans="1:21">
      <c r="A38" t="s">
        <v>9</v>
      </c>
      <c r="B38" s="9">
        <v>461</v>
      </c>
      <c r="C38" s="35"/>
      <c r="D38" s="52" t="s">
        <v>961</v>
      </c>
      <c r="K38" s="29"/>
      <c r="L38" t="s">
        <v>75</v>
      </c>
    </row>
    <row r="39" spans="1:21">
      <c r="A39" t="s">
        <v>10</v>
      </c>
      <c r="B39" s="9">
        <v>2138</v>
      </c>
      <c r="C39" s="35"/>
      <c r="D39" s="52" t="s">
        <v>961</v>
      </c>
      <c r="K39" s="29"/>
      <c r="L39" t="s">
        <v>692</v>
      </c>
    </row>
    <row r="40" spans="1:21">
      <c r="A40" s="3" t="s">
        <v>24</v>
      </c>
      <c r="B40" s="21">
        <f>SUM(B38:B39)</f>
        <v>2599</v>
      </c>
      <c r="C40" s="36"/>
      <c r="K40" s="29"/>
    </row>
    <row r="41" spans="1:21">
      <c r="B41" s="19"/>
      <c r="C41" s="35"/>
      <c r="K41" s="29"/>
    </row>
    <row r="42" spans="1:21" ht="15.75">
      <c r="A42" s="4" t="s">
        <v>23</v>
      </c>
      <c r="B42" s="159">
        <f>B13+B19+B24+B29+B35+B40</f>
        <v>12727.377280000001</v>
      </c>
      <c r="C42" s="37"/>
      <c r="K42" s="29"/>
    </row>
    <row r="43" spans="1:21" ht="15.75">
      <c r="A43" s="4"/>
      <c r="B43" s="4"/>
    </row>
    <row r="45" spans="1:21">
      <c r="A45" s="52"/>
      <c r="B45" s="52"/>
    </row>
    <row r="46" spans="1:21">
      <c r="A46" s="136"/>
      <c r="B46" s="136"/>
    </row>
    <row r="47" spans="1:21">
      <c r="C47" s="103"/>
      <c r="D47" s="107"/>
      <c r="L47" s="2"/>
    </row>
    <row r="48" spans="1:21">
      <c r="A48" s="52"/>
      <c r="B48" s="52"/>
    </row>
    <row r="49" spans="1:11">
      <c r="A49" s="52"/>
      <c r="B49" s="52"/>
    </row>
    <row r="50" spans="1:11">
      <c r="C50" s="287"/>
    </row>
    <row r="51" spans="1:11">
      <c r="C51" s="287"/>
    </row>
    <row r="52" spans="1:11">
      <c r="C52" s="287"/>
    </row>
    <row r="53" spans="1:11">
      <c r="C53" s="287"/>
    </row>
    <row r="54" spans="1:11">
      <c r="C54" s="287"/>
    </row>
    <row r="55" spans="1:11">
      <c r="C55" s="287"/>
    </row>
    <row r="56" spans="1:11">
      <c r="C56" s="287"/>
      <c r="K56" s="7"/>
    </row>
    <row r="57" spans="1:11">
      <c r="A57" s="3"/>
      <c r="B57" s="3"/>
      <c r="C57" s="287"/>
      <c r="K57" s="7"/>
    </row>
    <row r="58" spans="1:11">
      <c r="C58" s="287"/>
      <c r="K58" s="7"/>
    </row>
    <row r="59" spans="1:11">
      <c r="A59" s="2"/>
      <c r="B59" s="2"/>
      <c r="C59" s="287"/>
      <c r="K59" s="7"/>
    </row>
    <row r="60" spans="1:11">
      <c r="C60" s="287"/>
      <c r="K60" s="7"/>
    </row>
    <row r="61" spans="1:11">
      <c r="C61" s="287"/>
      <c r="K61" s="7"/>
    </row>
    <row r="62" spans="1:11">
      <c r="C62" s="287"/>
      <c r="K62" s="7"/>
    </row>
    <row r="63" spans="1:11">
      <c r="A63" s="3"/>
      <c r="B63" s="3"/>
      <c r="C63" s="287"/>
      <c r="K63" s="7"/>
    </row>
    <row r="64" spans="1:11">
      <c r="C64" s="287"/>
      <c r="K64" s="7"/>
    </row>
    <row r="65" spans="1:11">
      <c r="A65" s="2"/>
      <c r="B65" s="2"/>
      <c r="C65" s="287"/>
      <c r="K65" s="7"/>
    </row>
    <row r="66" spans="1:11">
      <c r="C66" s="287"/>
      <c r="K66" s="7"/>
    </row>
    <row r="67" spans="1:11">
      <c r="A67" s="3"/>
      <c r="B67" s="3"/>
      <c r="C67" s="287"/>
      <c r="K67" s="7"/>
    </row>
    <row r="68" spans="1:11">
      <c r="C68" s="287"/>
      <c r="K68" s="7"/>
    </row>
    <row r="69" spans="1:11">
      <c r="A69" s="2"/>
      <c r="B69" s="2"/>
      <c r="C69" s="287"/>
      <c r="I69" s="9"/>
      <c r="K69" s="7"/>
    </row>
    <row r="70" spans="1:11">
      <c r="C70" s="287"/>
      <c r="K70" s="7"/>
    </row>
    <row r="71" spans="1:11">
      <c r="C71" s="287"/>
      <c r="K71" s="7"/>
    </row>
    <row r="72" spans="1:11">
      <c r="A72" s="3"/>
      <c r="B72" s="3"/>
      <c r="C72" s="287"/>
      <c r="K72" s="7"/>
    </row>
    <row r="73" spans="1:11">
      <c r="C73" s="287"/>
      <c r="K73" s="7"/>
    </row>
    <row r="74" spans="1:11">
      <c r="A74" s="2"/>
      <c r="B74" s="2"/>
      <c r="C74" s="287"/>
      <c r="K74" s="7"/>
    </row>
    <row r="75" spans="1:11">
      <c r="C75" s="287"/>
      <c r="K75" s="7"/>
    </row>
    <row r="76" spans="1:11">
      <c r="C76" s="287"/>
      <c r="K76" s="7"/>
    </row>
    <row r="77" spans="1:11">
      <c r="A77" s="3"/>
      <c r="B77" s="3"/>
      <c r="C77" s="287"/>
      <c r="K77" s="7"/>
    </row>
    <row r="78" spans="1:11">
      <c r="C78" s="287"/>
      <c r="K78" s="7"/>
    </row>
    <row r="79" spans="1:11">
      <c r="C79" s="287"/>
      <c r="K79" s="7"/>
    </row>
    <row r="80" spans="1:11">
      <c r="C80" s="287"/>
      <c r="K80" s="7"/>
    </row>
    <row r="81" spans="1:11">
      <c r="A81" s="3"/>
      <c r="B81" s="3"/>
      <c r="C81" s="287"/>
      <c r="K81" s="7"/>
    </row>
    <row r="82" spans="1:11">
      <c r="C82" s="287"/>
    </row>
    <row r="83" spans="1:11" ht="15.75">
      <c r="A83" s="4"/>
      <c r="B83" s="4"/>
    </row>
    <row r="84" spans="1:11" ht="15.75">
      <c r="A84" s="4"/>
      <c r="B84" s="4"/>
    </row>
    <row r="85" spans="1:11" ht="15.75">
      <c r="A85" s="4"/>
      <c r="B85" s="4"/>
    </row>
    <row r="96" spans="1:11">
      <c r="D96" s="7"/>
    </row>
    <row r="97" spans="4:4">
      <c r="D97" s="7"/>
    </row>
    <row r="98" spans="4:4">
      <c r="D98" s="7"/>
    </row>
    <row r="99" spans="4:4">
      <c r="D99" s="7"/>
    </row>
  </sheetData>
  <mergeCells count="1">
    <mergeCell ref="D17:J17"/>
  </mergeCells>
  <hyperlinks>
    <hyperlink ref="L18" r:id="rId1"/>
  </hyperlinks>
  <pageMargins left="0.70866141732283472" right="0.70866141732283472" top="0.74803149606299213" bottom="0.74803149606299213" header="0.31496062992125984" footer="0.31496062992125984"/>
  <pageSetup scale="85" orientation="landscape" verticalDpi="0" r:id="rId2"/>
</worksheet>
</file>

<file path=xl/worksheets/sheet14.xml><?xml version="1.0" encoding="utf-8"?>
<worksheet xmlns="http://schemas.openxmlformats.org/spreadsheetml/2006/main" xmlns:r="http://schemas.openxmlformats.org/officeDocument/2006/relationships">
  <sheetPr>
    <tabColor rgb="FFFF0000"/>
  </sheetPr>
  <dimension ref="A1:U97"/>
  <sheetViews>
    <sheetView topLeftCell="A21" workbookViewId="0">
      <selection activeCell="G49" sqref="G49"/>
    </sheetView>
  </sheetViews>
  <sheetFormatPr defaultRowHeight="12.75"/>
  <cols>
    <col min="1" max="1" width="39.5703125" customWidth="1"/>
    <col min="2" max="3" width="12.7109375" customWidth="1"/>
    <col min="4" max="4" width="10.7109375" customWidth="1"/>
    <col min="5" max="5" width="12.7109375" customWidth="1"/>
    <col min="6" max="6" width="10.7109375" customWidth="1"/>
    <col min="7" max="7" width="12.7109375" customWidth="1"/>
    <col min="8" max="8" width="10.7109375" customWidth="1"/>
    <col min="9" max="9" width="12.7109375" customWidth="1"/>
    <col min="10" max="10" width="10.7109375" customWidth="1"/>
    <col min="11" max="14" width="12.7109375" customWidth="1"/>
    <col min="15" max="16" width="10.140625" bestFit="1" customWidth="1"/>
    <col min="17" max="17" width="10.140625" customWidth="1"/>
  </cols>
  <sheetData>
    <row r="1" spans="1:21">
      <c r="O1" s="224" t="s">
        <v>687</v>
      </c>
      <c r="P1" s="224"/>
      <c r="Q1" s="224"/>
      <c r="R1" s="223"/>
      <c r="S1" s="39"/>
    </row>
    <row r="2" spans="1:21">
      <c r="C2" s="1" t="s">
        <v>172</v>
      </c>
      <c r="D2" s="1"/>
      <c r="O2" s="224">
        <v>2005</v>
      </c>
      <c r="P2" s="224">
        <v>2010</v>
      </c>
      <c r="Q2" s="224">
        <v>2011</v>
      </c>
      <c r="R2" s="223">
        <v>2013</v>
      </c>
      <c r="S2" s="39" t="s">
        <v>688</v>
      </c>
    </row>
    <row r="3" spans="1:21" ht="37.5" customHeight="1">
      <c r="B3" s="1" t="s">
        <v>58</v>
      </c>
      <c r="C3" s="1" t="s">
        <v>104</v>
      </c>
      <c r="D3" s="2" t="s">
        <v>170</v>
      </c>
      <c r="E3" s="1" t="s">
        <v>181</v>
      </c>
      <c r="F3" s="2" t="s">
        <v>170</v>
      </c>
      <c r="G3" s="1" t="s">
        <v>514</v>
      </c>
      <c r="H3" s="2" t="s">
        <v>170</v>
      </c>
      <c r="I3" s="241" t="s">
        <v>689</v>
      </c>
      <c r="J3" s="2" t="s">
        <v>170</v>
      </c>
      <c r="K3" s="289" t="s">
        <v>823</v>
      </c>
      <c r="L3" s="2" t="s">
        <v>170</v>
      </c>
      <c r="M3" s="289" t="s">
        <v>824</v>
      </c>
      <c r="N3" s="2" t="s">
        <v>170</v>
      </c>
      <c r="O3" s="231">
        <v>12527990</v>
      </c>
      <c r="P3" s="231">
        <v>13135063</v>
      </c>
      <c r="Q3" s="231">
        <v>13263544</v>
      </c>
      <c r="R3" s="235">
        <v>13551004</v>
      </c>
      <c r="S3" s="322" t="s">
        <v>1029</v>
      </c>
      <c r="T3" s="322"/>
      <c r="U3" s="322"/>
    </row>
    <row r="4" spans="1:21">
      <c r="B4" s="1" t="s">
        <v>16</v>
      </c>
      <c r="C4" s="1" t="s">
        <v>16</v>
      </c>
      <c r="D4" s="1"/>
      <c r="E4" s="1" t="s">
        <v>16</v>
      </c>
      <c r="G4" s="1" t="s">
        <v>16</v>
      </c>
      <c r="I4" s="241" t="s">
        <v>16</v>
      </c>
      <c r="O4" s="224"/>
      <c r="P4" s="224"/>
      <c r="Q4" s="224"/>
      <c r="R4" s="223"/>
      <c r="S4" s="2" t="s">
        <v>170</v>
      </c>
      <c r="T4" s="2" t="s">
        <v>170</v>
      </c>
    </row>
    <row r="5" spans="1:21">
      <c r="O5" s="224"/>
      <c r="P5" s="224"/>
      <c r="Q5" s="224"/>
      <c r="R5" s="223"/>
    </row>
    <row r="6" spans="1:21">
      <c r="A6" t="s">
        <v>0</v>
      </c>
      <c r="B6" s="9">
        <f>'ONT DIS $ 2005-06'!B6</f>
        <v>210.06</v>
      </c>
      <c r="C6" s="35">
        <f>'ONT DIS $ 2008-09'!B6</f>
        <v>247.65</v>
      </c>
      <c r="D6" s="35"/>
      <c r="E6" s="9">
        <f>'ONT Disability details 09-10'!B6</f>
        <v>240.56</v>
      </c>
      <c r="G6" s="9">
        <f>'ONT Disability details 10-11'!B6</f>
        <v>252.20000000000002</v>
      </c>
      <c r="I6" s="9">
        <f>'Ont Disability details 11-12'!B6</f>
        <v>260.55</v>
      </c>
      <c r="K6" s="9">
        <f>'ONT disability details 12-13'!B6</f>
        <v>266.34000000000003</v>
      </c>
      <c r="M6" s="9">
        <f>'ONT Disability details 13-14'!B6</f>
        <v>277.92</v>
      </c>
      <c r="O6" s="224"/>
      <c r="P6" s="224"/>
      <c r="Q6" s="224"/>
      <c r="R6" s="223"/>
    </row>
    <row r="7" spans="1:21">
      <c r="A7" t="s">
        <v>1</v>
      </c>
      <c r="B7" s="9">
        <f>'ONT DIS $ 2005-06'!B7</f>
        <v>340.375</v>
      </c>
      <c r="C7" s="35">
        <f>'ONT DIS $ 2008-09'!B7</f>
        <v>388.05</v>
      </c>
      <c r="D7" s="35"/>
      <c r="E7" s="9">
        <f>'ONT Disability details 09-10'!B7</f>
        <v>388</v>
      </c>
      <c r="G7" s="9">
        <f>'ONT Disability details 10-11'!B7</f>
        <v>419.04</v>
      </c>
      <c r="I7" s="9">
        <f>'Ont Disability details 11-12'!B7</f>
        <v>438.11</v>
      </c>
      <c r="K7" s="9">
        <f>'ONT disability details 12-13'!B7</f>
        <v>463.2</v>
      </c>
      <c r="M7" s="9">
        <f>'ONT Disability details 13-14'!B7</f>
        <v>499.87</v>
      </c>
      <c r="O7" s="228"/>
      <c r="P7" s="224"/>
      <c r="Q7" s="224"/>
      <c r="R7" s="223"/>
    </row>
    <row r="8" spans="1:21">
      <c r="A8" t="s">
        <v>14</v>
      </c>
      <c r="B8" s="9">
        <f>'ONT DIS $ 2005-06'!B8</f>
        <v>33.064999999999998</v>
      </c>
      <c r="C8" s="35">
        <f>'ONT DIS $ 2008-09'!B8</f>
        <v>35.1</v>
      </c>
      <c r="D8" s="35"/>
      <c r="E8" s="9">
        <f>'ONT Disability details 09-10'!B8</f>
        <v>37.636000000000003</v>
      </c>
      <c r="G8" s="9">
        <f>'ONT Disability details 10-11'!B8</f>
        <v>38.800000000000004</v>
      </c>
      <c r="I8" s="9">
        <f>'Ont Disability details 11-12'!B8</f>
        <v>40.53</v>
      </c>
      <c r="K8" s="9">
        <f>'ONT disability details 12-13'!B8</f>
        <v>40.53</v>
      </c>
      <c r="M8" s="9">
        <f>'ONT Disability details 13-14'!B8</f>
        <v>42.46</v>
      </c>
      <c r="O8" s="228"/>
      <c r="P8" s="224"/>
      <c r="Q8" s="224"/>
      <c r="R8" s="223"/>
    </row>
    <row r="9" spans="1:21">
      <c r="A9" t="s">
        <v>2</v>
      </c>
      <c r="B9" s="9">
        <f>'ONT DIS $ 2005-06'!B9</f>
        <v>1.9450000000000001</v>
      </c>
      <c r="C9" s="35">
        <f>'ONT DIS $ 2008-09'!B9</f>
        <v>1.9500000000000002</v>
      </c>
      <c r="D9" s="35"/>
      <c r="E9" s="9">
        <f>'ONT Disability details 09-10'!B9</f>
        <v>1.94</v>
      </c>
      <c r="G9" s="9">
        <f>'ONT Disability details 10-11'!B9</f>
        <v>1.94</v>
      </c>
      <c r="I9" s="9">
        <f>'Ont Disability details 11-12'!B9</f>
        <v>1.9300000000000002</v>
      </c>
      <c r="K9" s="9">
        <f>'ONT disability details 12-13'!B9</f>
        <v>1.9300000000000002</v>
      </c>
      <c r="M9" s="9">
        <f>'ONT Disability details 13-14'!B9</f>
        <v>2.3159999999999998</v>
      </c>
      <c r="O9" s="228"/>
      <c r="P9" s="224"/>
      <c r="Q9" s="224"/>
      <c r="R9" s="223"/>
    </row>
    <row r="10" spans="1:21">
      <c r="A10" s="52" t="s">
        <v>273</v>
      </c>
      <c r="B10" s="9">
        <f>'ONT DIS $ 2005-06'!B10</f>
        <v>0</v>
      </c>
      <c r="C10" s="35">
        <f>'ONT DIS $ 2008-09'!B10</f>
        <v>0</v>
      </c>
      <c r="D10" s="35"/>
      <c r="E10" s="9">
        <f>'ONT Disability details 09-10'!B10</f>
        <v>0</v>
      </c>
      <c r="G10" s="9">
        <f>'ONT Disability details 10-11'!B10</f>
        <v>0</v>
      </c>
      <c r="I10" s="9">
        <f>'Ont Disability details 11-12'!B10</f>
        <v>0</v>
      </c>
      <c r="K10" s="9">
        <f>'ONT disability details 12-13'!B10</f>
        <v>0</v>
      </c>
      <c r="M10" s="9">
        <f>'ONT Disability details 13-14'!B10</f>
        <v>0</v>
      </c>
      <c r="O10" s="228"/>
      <c r="P10" s="224"/>
      <c r="Q10" s="224"/>
      <c r="R10" s="223"/>
    </row>
    <row r="11" spans="1:21">
      <c r="A11" t="s">
        <v>3</v>
      </c>
      <c r="B11" s="9">
        <f>'ONT DIS $ 2005-06'!B11</f>
        <v>44.734999999999999</v>
      </c>
      <c r="C11" s="35">
        <f>'ONT DIS $ 2008-09'!B11</f>
        <v>46.800000000000004</v>
      </c>
      <c r="D11" s="35"/>
      <c r="E11" s="9">
        <f>'ONT Disability details 09-10'!B11</f>
        <v>50.440000000000005</v>
      </c>
      <c r="G11" s="9">
        <f>'ONT Disability details 10-11'!B11</f>
        <v>52.38</v>
      </c>
      <c r="I11" s="9">
        <f>'Ont Disability details 11-12'!B11</f>
        <v>52.11</v>
      </c>
      <c r="K11" s="9">
        <f>'ONT disability details 12-13'!B11</f>
        <v>54.04</v>
      </c>
      <c r="M11" s="9">
        <f>'ONT Disability details 13-14'!B11</f>
        <v>55.97</v>
      </c>
      <c r="O11" s="228"/>
      <c r="P11" s="224"/>
      <c r="Q11" s="224"/>
      <c r="R11" s="223"/>
    </row>
    <row r="12" spans="1:21">
      <c r="A12" t="s">
        <v>15</v>
      </c>
      <c r="B12" s="9">
        <f>'ONT DIS $ 2005-06'!B12</f>
        <v>35.01</v>
      </c>
      <c r="C12" s="35">
        <f>'ONT DIS $ 2008-09'!B12</f>
        <v>62.751000000000005</v>
      </c>
      <c r="D12" s="35"/>
      <c r="E12" s="9">
        <f>'ONT Disability details 09-10'!B12</f>
        <v>76.242000000000004</v>
      </c>
      <c r="G12" s="9">
        <f>'ONT Disability details 10-11'!B12</f>
        <v>85.515200000000007</v>
      </c>
      <c r="I12" s="9">
        <f>'Ont Disability details 11-12'!B12</f>
        <v>97.835560000000001</v>
      </c>
      <c r="K12" s="9">
        <f>'ONT disability details 12-13'!B12</f>
        <v>102.08928000000002</v>
      </c>
      <c r="M12" s="9">
        <f>'ONT Disability details 13-14'!B12</f>
        <v>94.811250000000001</v>
      </c>
      <c r="O12" s="228"/>
      <c r="P12" s="224"/>
      <c r="Q12" s="224"/>
      <c r="R12" s="223"/>
    </row>
    <row r="13" spans="1:21">
      <c r="A13" s="2" t="s">
        <v>11</v>
      </c>
      <c r="B13" s="21">
        <f>SUM(B6:B12)</f>
        <v>665.19</v>
      </c>
      <c r="C13" s="36">
        <f>SUM(C6:C12)</f>
        <v>782.30100000000004</v>
      </c>
      <c r="D13" s="54">
        <f>(C13-B13)/B13</f>
        <v>0.17605646507013031</v>
      </c>
      <c r="E13" s="36">
        <f>SUM(E6:E12)</f>
        <v>794.81799999999998</v>
      </c>
      <c r="F13" s="56">
        <f>(E13-B13)/B13</f>
        <v>0.19487364512394942</v>
      </c>
      <c r="G13" s="36">
        <f>SUM(G6:G12)</f>
        <v>849.87520000000006</v>
      </c>
      <c r="H13" s="253">
        <f>(G13-B13)/B13</f>
        <v>0.2776427787549422</v>
      </c>
      <c r="I13" s="36">
        <f>SUM(I6:I12)</f>
        <v>891.06556</v>
      </c>
      <c r="J13" s="253">
        <f>(I13-B13)/B13</f>
        <v>0.33956547753273492</v>
      </c>
      <c r="K13" s="8">
        <f>SUM(K6:K12)</f>
        <v>928.12927999999988</v>
      </c>
      <c r="L13" s="56">
        <f>(K13-B13)/B13</f>
        <v>0.39528447511237363</v>
      </c>
      <c r="M13" s="8">
        <f>'ONT Disability details 13-14'!B13</f>
        <v>973.34725000000003</v>
      </c>
      <c r="N13" s="29">
        <f>(M13-B13)/B13</f>
        <v>0.4632620003307325</v>
      </c>
      <c r="O13" s="229">
        <f>B13*1000000/$O$3</f>
        <v>53.096306749925567</v>
      </c>
      <c r="P13" s="229">
        <f>G13*1000000/$P$3</f>
        <v>64.702788254612869</v>
      </c>
      <c r="Q13" s="229">
        <f>I13*1000000/$Q$3</f>
        <v>67.181558714624089</v>
      </c>
      <c r="R13" s="317">
        <f>(M13*1000000)/$R$3</f>
        <v>71.828423192849769</v>
      </c>
      <c r="S13" s="29">
        <f>(R13-O13)/O13</f>
        <v>0.3527950923432252</v>
      </c>
      <c r="T13" s="29"/>
    </row>
    <row r="14" spans="1:21">
      <c r="B14" s="9"/>
      <c r="C14" s="35"/>
      <c r="D14" s="55"/>
      <c r="E14" s="9"/>
      <c r="F14" s="56"/>
      <c r="G14" s="8"/>
      <c r="H14" s="56"/>
      <c r="I14" s="9"/>
      <c r="J14" s="52"/>
      <c r="K14" s="9"/>
      <c r="L14" s="29"/>
      <c r="M14" s="9"/>
      <c r="N14" s="29"/>
      <c r="O14" s="229"/>
      <c r="P14" s="229"/>
      <c r="Q14" s="229"/>
      <c r="R14" s="317"/>
      <c r="S14" s="29"/>
    </row>
    <row r="15" spans="1:21">
      <c r="A15" s="2" t="s">
        <v>4</v>
      </c>
      <c r="B15" s="8"/>
      <c r="C15" s="35"/>
      <c r="D15" s="55"/>
      <c r="E15" s="9"/>
      <c r="F15" s="56"/>
      <c r="G15" s="8"/>
      <c r="H15" s="56"/>
      <c r="I15" s="9"/>
      <c r="J15" s="52"/>
      <c r="K15" s="9"/>
      <c r="L15" s="29"/>
      <c r="M15" s="9"/>
      <c r="N15" s="29"/>
      <c r="O15" s="229"/>
      <c r="P15" s="229"/>
      <c r="Q15" s="229"/>
      <c r="R15" s="317"/>
      <c r="S15" s="29"/>
    </row>
    <row r="16" spans="1:21">
      <c r="A16" t="s">
        <v>5</v>
      </c>
      <c r="B16" s="9">
        <f>'ONT DIS $ 2005-06'!B16</f>
        <v>1524.6</v>
      </c>
      <c r="C16" s="35">
        <f>'ONT DIS $ 2008-09'!B16</f>
        <v>1656.8</v>
      </c>
      <c r="D16" s="54">
        <f>(C16-B16)/B16</f>
        <v>8.671126852945038E-2</v>
      </c>
      <c r="E16" s="9">
        <f>'ONT Disability details 09-10'!B16</f>
        <v>1732.2</v>
      </c>
      <c r="F16" s="56">
        <f>(E16-B16)/B16</f>
        <v>0.13616686343959081</v>
      </c>
      <c r="G16" s="8">
        <f>'ONT Disability details 10-11'!B16</f>
        <v>1827.9</v>
      </c>
      <c r="H16" s="56">
        <f>(G16-B16)/B16</f>
        <v>0.19893742621015362</v>
      </c>
      <c r="I16" s="9">
        <f>'Ont Disability details 11-12'!B16</f>
        <v>1937.4</v>
      </c>
      <c r="J16" s="253">
        <f>(I16-B16)/B16</f>
        <v>0.27075954348681636</v>
      </c>
      <c r="K16" s="9">
        <f>'ONT disability details 12-13'!B16</f>
        <v>1952.6</v>
      </c>
      <c r="L16" s="56">
        <f>(K16-B16)/B16</f>
        <v>0.28072937163846257</v>
      </c>
      <c r="M16" s="9">
        <f>'ONT Disability details 13-14'!B16</f>
        <v>1979.9</v>
      </c>
      <c r="N16" s="29">
        <f>(M16-B16)/B16</f>
        <v>0.29863570772661696</v>
      </c>
      <c r="O16" s="229">
        <f>B16*1000000/$O$3</f>
        <v>121.69549943765919</v>
      </c>
      <c r="P16" s="229">
        <f>G16*1000000/$P$3</f>
        <v>139.16187535606034</v>
      </c>
      <c r="Q16" s="229">
        <f>I16*1000000/$Q$3</f>
        <v>146.06955727669768</v>
      </c>
      <c r="R16" s="317">
        <f>(M16*1000000)/$R$3</f>
        <v>146.10725522625484</v>
      </c>
      <c r="S16" s="29">
        <f t="shared" ref="S16:S31" si="0">(R16-O16)/O16</f>
        <v>0.20059703030432133</v>
      </c>
      <c r="T16" s="29"/>
    </row>
    <row r="17" spans="1:20" ht="15">
      <c r="A17" t="s">
        <v>69</v>
      </c>
      <c r="B17" s="9"/>
      <c r="C17" s="35"/>
      <c r="D17" s="55"/>
      <c r="E17" s="9"/>
      <c r="F17" s="56"/>
      <c r="G17" s="8"/>
      <c r="H17" s="118"/>
      <c r="I17" s="9"/>
      <c r="J17" s="52"/>
      <c r="K17" s="9"/>
      <c r="L17" s="29"/>
      <c r="M17" s="9"/>
      <c r="N17" s="29"/>
      <c r="O17" s="229"/>
      <c r="P17" s="229"/>
      <c r="Q17" s="229"/>
      <c r="R17" s="317"/>
      <c r="S17" s="29"/>
    </row>
    <row r="18" spans="1:20">
      <c r="A18" t="s">
        <v>6</v>
      </c>
      <c r="B18" s="9">
        <f>'ONT DIS $ 2005-06'!B18</f>
        <v>259.3</v>
      </c>
      <c r="C18" s="156">
        <f>'ONT DIS $ 2008-09'!B18</f>
        <v>289.5</v>
      </c>
      <c r="D18" s="54">
        <f>(C18-B18)/B18</f>
        <v>0.11646741226378707</v>
      </c>
      <c r="E18" s="102">
        <f>'ONT Disability details 09-10'!B18</f>
        <v>308.39999999999998</v>
      </c>
      <c r="F18" s="158">
        <f>(E18-B18)/B18</f>
        <v>0.18935595834940211</v>
      </c>
      <c r="G18" s="122">
        <f>'ONT Disability details 10-11'!B18</f>
        <v>308.5</v>
      </c>
      <c r="H18" s="158">
        <f>(G18-B18)/B18</f>
        <v>0.18974161203239487</v>
      </c>
      <c r="I18" s="9">
        <f>'Ont Disability details 11-12'!B18</f>
        <v>327.3</v>
      </c>
      <c r="J18" s="253">
        <f>(I18-B18)/B18</f>
        <v>0.26224450443501734</v>
      </c>
      <c r="K18" s="9">
        <f>'ONT disability details 12-13'!B18</f>
        <v>331.8</v>
      </c>
      <c r="L18" s="29"/>
      <c r="M18" s="9">
        <f>'ONT Disability details 13-14'!B18</f>
        <v>368.9</v>
      </c>
      <c r="N18" s="29">
        <f>(M18-B18)/B18</f>
        <v>0.422676436559969</v>
      </c>
      <c r="O18" s="229">
        <f>B18*1000000/$O$3</f>
        <v>20.697653813580629</v>
      </c>
      <c r="P18" s="229">
        <f>G18*1000000/$P$3</f>
        <v>23.486754498246412</v>
      </c>
      <c r="Q18" s="229">
        <f>I18*1000000/$Q$3</f>
        <v>24.676662587314521</v>
      </c>
      <c r="R18" s="317">
        <f>(M18*1000000)/$R$3</f>
        <v>27.223075131554829</v>
      </c>
      <c r="S18" s="29">
        <f t="shared" si="0"/>
        <v>0.31527347866319938</v>
      </c>
      <c r="T18" s="29"/>
    </row>
    <row r="19" spans="1:20">
      <c r="A19" s="3" t="s">
        <v>24</v>
      </c>
      <c r="B19" s="21">
        <f>SUM(B16:B18)</f>
        <v>1783.8999999999999</v>
      </c>
      <c r="C19" s="157">
        <f>SUM(C16:C18)</f>
        <v>1946.3</v>
      </c>
      <c r="D19" s="54">
        <f>(C19-B19)/B19</f>
        <v>9.1036493076966249E-2</v>
      </c>
      <c r="E19" s="157">
        <f>SUM(E16:E18)</f>
        <v>2040.6</v>
      </c>
      <c r="F19" s="158">
        <f>(E19-B19)/B19</f>
        <v>0.14389820057178096</v>
      </c>
      <c r="G19" s="157">
        <f>SUM(G16:G18)</f>
        <v>2136.4</v>
      </c>
      <c r="H19" s="158">
        <f>(G19-B19)/B19</f>
        <v>0.19760076237457272</v>
      </c>
      <c r="I19" s="157">
        <f>SUM(I16:I18)</f>
        <v>2264.7000000000003</v>
      </c>
      <c r="J19" s="253">
        <f>(I19-B19)/B19</f>
        <v>0.26952183418353071</v>
      </c>
      <c r="K19" s="8">
        <f>SUM(K16:K18)</f>
        <v>2284.4</v>
      </c>
      <c r="L19" s="56">
        <f>(K19-B19)/B19</f>
        <v>0.28056505409496063</v>
      </c>
      <c r="M19" s="8">
        <f>SUM(M16:M18)</f>
        <v>2348.8000000000002</v>
      </c>
      <c r="N19" s="29">
        <f>(M19-B19)/B19</f>
        <v>0.31666573238410245</v>
      </c>
      <c r="O19" s="229"/>
      <c r="P19" s="229"/>
      <c r="Q19" s="229"/>
      <c r="R19" s="317"/>
      <c r="S19" s="29"/>
    </row>
    <row r="20" spans="1:20">
      <c r="B20" s="9"/>
      <c r="C20" s="35"/>
      <c r="D20" s="55"/>
      <c r="E20" s="9"/>
      <c r="F20" s="56"/>
      <c r="G20" s="8"/>
      <c r="H20" s="56"/>
      <c r="I20" s="9"/>
      <c r="J20" s="52"/>
      <c r="K20" s="9"/>
      <c r="L20" s="29"/>
      <c r="M20" s="9"/>
      <c r="N20" s="29"/>
      <c r="O20" s="229"/>
      <c r="P20" s="229"/>
      <c r="Q20" s="229"/>
      <c r="R20" s="317"/>
      <c r="S20" s="29"/>
    </row>
    <row r="21" spans="1:20">
      <c r="A21" s="2" t="s">
        <v>99</v>
      </c>
      <c r="B21" s="8"/>
      <c r="C21" s="35"/>
      <c r="D21" s="55"/>
      <c r="E21" s="9"/>
      <c r="F21" s="56"/>
      <c r="G21" s="8"/>
      <c r="H21" s="56"/>
      <c r="I21" s="9"/>
      <c r="J21" s="52"/>
      <c r="K21" s="9"/>
      <c r="L21" s="29"/>
      <c r="M21" s="9"/>
      <c r="N21" s="29"/>
      <c r="O21" s="229"/>
      <c r="P21" s="229"/>
      <c r="Q21" s="229"/>
      <c r="R21" s="317"/>
      <c r="S21" s="29"/>
    </row>
    <row r="22" spans="1:20">
      <c r="A22" t="s">
        <v>100</v>
      </c>
      <c r="B22" s="9">
        <f>'ONT DIS $ 2005-06'!B21</f>
        <v>564.69600000000003</v>
      </c>
      <c r="C22" s="35">
        <f>'ONT DIS $ 2008-09'!B22</f>
        <v>621.20000000000005</v>
      </c>
      <c r="D22" s="55"/>
      <c r="E22" s="9">
        <f>'ONT Disability details 09-10'!B22</f>
        <v>702.44920000000002</v>
      </c>
      <c r="F22" s="56">
        <f>(E22-B22)/B22</f>
        <v>0.24394222732231144</v>
      </c>
      <c r="G22" s="8">
        <f>'ONT Disability details 10-11'!B22</f>
        <v>708.1</v>
      </c>
      <c r="H22" s="56"/>
      <c r="I22" s="9">
        <f>'Ont Disability details 11-12'!B22</f>
        <v>681.69999999999993</v>
      </c>
      <c r="J22" s="52"/>
      <c r="K22" s="9">
        <f>'ONT disability details 12-13'!B24</f>
        <v>683.30000000000007</v>
      </c>
      <c r="L22" s="29"/>
      <c r="M22" s="9">
        <f>'ONT Disability details 13-14'!B24</f>
        <v>679.9</v>
      </c>
      <c r="N22" s="29"/>
      <c r="O22" s="229"/>
      <c r="P22" s="229"/>
      <c r="Q22" s="229"/>
      <c r="R22" s="317"/>
      <c r="S22" s="29"/>
    </row>
    <row r="23" spans="1:20">
      <c r="A23" s="3" t="s">
        <v>24</v>
      </c>
      <c r="B23" s="21">
        <f>SUM(B22)</f>
        <v>564.69600000000003</v>
      </c>
      <c r="C23" s="36">
        <f>SUM(C22)</f>
        <v>621.20000000000005</v>
      </c>
      <c r="D23" s="54">
        <f>(C23-B23)/B23</f>
        <v>0.10006091773272702</v>
      </c>
      <c r="E23" s="36">
        <f>SUM(E22)</f>
        <v>702.44920000000002</v>
      </c>
      <c r="F23" s="56">
        <f>(E23-B23)/B23</f>
        <v>0.24394222732231144</v>
      </c>
      <c r="G23" s="8">
        <f>SUM(G22)</f>
        <v>708.1</v>
      </c>
      <c r="H23" s="56">
        <f>(G23-B23)/B23</f>
        <v>0.25394902744131354</v>
      </c>
      <c r="I23" s="8">
        <f>SUM(I22)</f>
        <v>681.69999999999993</v>
      </c>
      <c r="J23" s="253">
        <f>(I23-B23)/B23</f>
        <v>0.20719820930199595</v>
      </c>
      <c r="K23" s="9">
        <f>SUM(K22)</f>
        <v>683.30000000000007</v>
      </c>
      <c r="L23" s="56">
        <f>(K23-B23)/B23</f>
        <v>0.21003159221953058</v>
      </c>
      <c r="M23" s="9">
        <f>SUM(M22)</f>
        <v>679.9</v>
      </c>
      <c r="N23" s="29">
        <f>(M23-B23)/B23</f>
        <v>0.20401065351976982</v>
      </c>
      <c r="O23" s="229">
        <f>B23*1000000/$O$3</f>
        <v>45.074748622883639</v>
      </c>
      <c r="P23" s="229">
        <f>G23*1000000/$P$3</f>
        <v>53.909143793219719</v>
      </c>
      <c r="Q23" s="229">
        <f>I23*1000000/$Q$3</f>
        <v>51.396519663221227</v>
      </c>
      <c r="R23" s="317">
        <f>(M23*1000000)/$R$3</f>
        <v>50.17340412562789</v>
      </c>
      <c r="S23" s="29">
        <f t="shared" si="0"/>
        <v>0.11311556156201734</v>
      </c>
      <c r="T23" s="29"/>
    </row>
    <row r="24" spans="1:20">
      <c r="B24" s="9"/>
      <c r="C24" s="35"/>
      <c r="D24" s="55"/>
      <c r="E24" s="9"/>
      <c r="F24" s="56"/>
      <c r="G24" s="8"/>
      <c r="H24" s="56"/>
      <c r="I24" s="9"/>
      <c r="J24" s="52"/>
      <c r="K24" s="9"/>
      <c r="L24" s="29"/>
      <c r="M24" s="9"/>
      <c r="N24" s="29"/>
      <c r="O24" s="229"/>
      <c r="P24" s="229"/>
      <c r="Q24" s="229"/>
      <c r="R24" s="317"/>
      <c r="S24" s="29"/>
    </row>
    <row r="25" spans="1:20">
      <c r="A25" s="2" t="s">
        <v>18</v>
      </c>
      <c r="B25" s="8"/>
      <c r="C25" s="35"/>
      <c r="D25" s="55"/>
      <c r="E25" s="9"/>
      <c r="F25" s="56"/>
      <c r="G25" s="8"/>
      <c r="H25" s="56"/>
      <c r="I25" s="9"/>
      <c r="J25" s="52"/>
      <c r="K25" s="9"/>
      <c r="L25" s="29"/>
      <c r="M25" s="9"/>
      <c r="N25" s="29"/>
      <c r="O25" s="229"/>
      <c r="P25" s="229"/>
      <c r="Q25" s="229"/>
      <c r="R25" s="317"/>
      <c r="S25" s="29"/>
    </row>
    <row r="26" spans="1:20">
      <c r="A26" t="s">
        <v>372</v>
      </c>
      <c r="B26" s="9">
        <f>'ONT DIS $ 2005-06'!B25</f>
        <v>2432.5</v>
      </c>
      <c r="C26" s="35">
        <f>'SA by prov 08-09'!B19</f>
        <v>3025</v>
      </c>
      <c r="D26" s="55"/>
      <c r="E26" s="9">
        <f>'ONT Disability details 09-10'!B26</f>
        <v>3294.5</v>
      </c>
      <c r="F26" s="56">
        <f>(E26-B26)/B26</f>
        <v>0.35436793422404933</v>
      </c>
      <c r="G26" s="8">
        <f>'ONT Disability details 10-11'!B26</f>
        <v>3535.8</v>
      </c>
      <c r="H26" s="56">
        <f>(G26-B26)/B26</f>
        <v>0.45356628982528269</v>
      </c>
      <c r="I26" s="9">
        <f>'Ont Disability details 11-12'!B26</f>
        <v>3794.8</v>
      </c>
      <c r="J26" s="253">
        <f>(I26-B26)/B26</f>
        <v>0.56004110996916756</v>
      </c>
      <c r="K26" s="9">
        <f>'ONT disability details 12-13'!B27</f>
        <v>4029.3</v>
      </c>
      <c r="L26" s="29"/>
      <c r="M26" s="9">
        <f>'ONT Disability details 13-14'!B27</f>
        <v>4165.7</v>
      </c>
      <c r="N26" s="29"/>
      <c r="O26" s="229">
        <f>B26*1000000/$O$3</f>
        <v>194.16522522767019</v>
      </c>
      <c r="P26" s="229">
        <f>G26*1000000/$P$3</f>
        <v>269.18789807098756</v>
      </c>
      <c r="Q26" s="229">
        <f>I26*1000000/$Q$3</f>
        <v>286.10754410736678</v>
      </c>
      <c r="R26" s="317">
        <f t="shared" ref="R26:R28" si="1">(M26*1000000)/$R$3</f>
        <v>307.40895656144738</v>
      </c>
      <c r="S26" s="29">
        <f t="shared" si="0"/>
        <v>0.58323384736371942</v>
      </c>
      <c r="T26" s="29"/>
    </row>
    <row r="27" spans="1:20">
      <c r="A27" t="s">
        <v>12</v>
      </c>
      <c r="B27" s="9">
        <f>'ONT DIS $ 2005-06'!B26</f>
        <v>56.760000000000005</v>
      </c>
      <c r="C27" s="35">
        <f>'ONT DIS $ 2008-09'!B27</f>
        <v>61.655000000000001</v>
      </c>
      <c r="D27" s="55"/>
      <c r="E27" s="9">
        <f>'ONT Disability details 09-10'!B27</f>
        <v>65.12</v>
      </c>
      <c r="F27" s="56"/>
      <c r="G27" s="8">
        <f>'ONT Disability details 10-11'!B27</f>
        <v>65.67</v>
      </c>
      <c r="H27" s="56"/>
      <c r="I27" s="9">
        <f>'Ont Disability details 11-12'!B27</f>
        <v>69.245000000000005</v>
      </c>
      <c r="J27" s="52"/>
      <c r="K27" s="9">
        <f>'ONT disability details 12-13'!B28</f>
        <v>72.048000000000002</v>
      </c>
      <c r="L27" s="29"/>
      <c r="M27" s="9">
        <f>'ONT Disability details 13-14'!B28</f>
        <v>76.405000000000001</v>
      </c>
      <c r="N27" s="29"/>
      <c r="O27" s="229">
        <f>B27*1000000/$O$3</f>
        <v>4.5306549574193475</v>
      </c>
      <c r="P27" s="229">
        <f>G27*1000000/$P$3</f>
        <v>4.9995953578601036</v>
      </c>
      <c r="Q27" s="229">
        <f>I27*1000000/$Q$3</f>
        <v>5.2207011941906325</v>
      </c>
      <c r="R27" s="317">
        <f t="shared" si="1"/>
        <v>5.6383276102641542</v>
      </c>
      <c r="S27" s="29">
        <f t="shared" si="0"/>
        <v>0.24448400137620166</v>
      </c>
      <c r="T27" s="29"/>
    </row>
    <row r="28" spans="1:20">
      <c r="A28" s="3" t="s">
        <v>236</v>
      </c>
      <c r="B28" s="21">
        <f>SUM(B26:B27)</f>
        <v>2489.2600000000002</v>
      </c>
      <c r="C28" s="36">
        <f>SUM(C26:C27)</f>
        <v>3086.6550000000002</v>
      </c>
      <c r="D28" s="54">
        <f>(C28-B28)/B28</f>
        <v>0.23998899271269369</v>
      </c>
      <c r="E28" s="36">
        <f>SUM(E26:E27)</f>
        <v>3359.62</v>
      </c>
      <c r="F28" s="56">
        <f>(E28-B28)/B28</f>
        <v>0.34964607955778004</v>
      </c>
      <c r="G28" s="36">
        <f>SUM(G26:G27)</f>
        <v>3601.4700000000003</v>
      </c>
      <c r="H28" s="56">
        <f>(G28-B28)/B28</f>
        <v>0.44680346769722729</v>
      </c>
      <c r="I28" s="36">
        <f>SUM(I26:I27)</f>
        <v>3864.0450000000001</v>
      </c>
      <c r="J28" s="253">
        <f>(I28-B28)/B28</f>
        <v>0.55228662333384204</v>
      </c>
      <c r="K28" s="8">
        <f>SUM(K26:K27)</f>
        <v>4101.348</v>
      </c>
      <c r="L28" s="56">
        <f>(K28-B28)/B28</f>
        <v>0.64761736419658833</v>
      </c>
      <c r="M28" s="8">
        <f>SUM(M26:M27)</f>
        <v>4242.1049999999996</v>
      </c>
      <c r="N28" s="29">
        <f>(M28-B28)/B28</f>
        <v>0.70416308461149069</v>
      </c>
      <c r="O28" s="229">
        <f>B28*1000000/$O$3</f>
        <v>198.69588018508955</v>
      </c>
      <c r="P28" s="229">
        <f>G28*1000000/$P$3</f>
        <v>274.18749342884769</v>
      </c>
      <c r="Q28" s="229">
        <f>I28*1000000/$Q$3</f>
        <v>291.32824530155739</v>
      </c>
      <c r="R28" s="317">
        <f t="shared" si="1"/>
        <v>313.04728417171151</v>
      </c>
      <c r="S28" s="29">
        <f t="shared" si="0"/>
        <v>0.57550968787123891</v>
      </c>
      <c r="T28" s="29"/>
    </row>
    <row r="29" spans="1:20">
      <c r="B29" s="9"/>
      <c r="C29" s="35"/>
      <c r="D29" s="55"/>
      <c r="E29" s="9"/>
      <c r="F29" s="56"/>
      <c r="G29" s="8"/>
      <c r="H29" s="56"/>
      <c r="I29" s="9"/>
      <c r="J29" s="52"/>
      <c r="K29" s="9"/>
      <c r="L29" s="29"/>
      <c r="M29" s="9"/>
      <c r="N29" s="29"/>
      <c r="O29" s="229"/>
      <c r="P29" s="229"/>
      <c r="Q29" s="229"/>
      <c r="R29" s="317"/>
      <c r="S29" s="29"/>
    </row>
    <row r="30" spans="1:20">
      <c r="A30" s="2" t="s">
        <v>13</v>
      </c>
      <c r="B30" s="8"/>
      <c r="C30" s="35"/>
      <c r="D30" s="55"/>
      <c r="E30" s="9"/>
      <c r="F30" s="56"/>
      <c r="G30" s="8"/>
      <c r="H30" s="56"/>
      <c r="I30" s="9"/>
      <c r="J30" s="52"/>
      <c r="K30" s="9"/>
      <c r="L30" s="29"/>
      <c r="M30" s="9"/>
      <c r="N30" s="29"/>
      <c r="O30" s="229"/>
      <c r="P30" s="229"/>
      <c r="Q30" s="229"/>
      <c r="R30" s="317"/>
      <c r="S30" s="29"/>
    </row>
    <row r="31" spans="1:20">
      <c r="A31" t="s">
        <v>7</v>
      </c>
      <c r="B31" s="8">
        <f>'ONT DIS $ 2005-06'!B30</f>
        <v>2028.5</v>
      </c>
      <c r="C31" s="35">
        <f>'ONT DIS $ 2008-09'!B31</f>
        <v>2282.1</v>
      </c>
      <c r="D31" s="55"/>
      <c r="E31" s="9">
        <f>'ONT Disability details 09-10'!B31</f>
        <v>2342.3000000000002</v>
      </c>
      <c r="F31" s="56"/>
      <c r="G31" s="8">
        <f>'ONT Disability details 10-11'!B31</f>
        <v>2263.6</v>
      </c>
      <c r="H31" s="56"/>
      <c r="I31" s="9">
        <f>'Ont Disability details 11-12'!B31</f>
        <v>2295.3000000000002</v>
      </c>
      <c r="J31" s="52"/>
      <c r="K31" s="25">
        <f>'ONT disability details 12-13'!B32</f>
        <v>2131.1999999999998</v>
      </c>
      <c r="L31" s="29"/>
      <c r="M31" s="9">
        <f>'ONT Disability details 13-14'!B32</f>
        <v>2014.5</v>
      </c>
      <c r="N31" s="29"/>
      <c r="O31" s="229">
        <f>B31*1000000/$O$3</f>
        <v>161.9174344807108</v>
      </c>
      <c r="P31" s="229">
        <f>G31*1000000/$P$3</f>
        <v>172.33263365390786</v>
      </c>
      <c r="Q31" s="229">
        <f>I31*1000000/$Q$3</f>
        <v>173.05329555961816</v>
      </c>
      <c r="R31" s="317">
        <f>(M31*1000000)/$R$3</f>
        <v>148.66057157093306</v>
      </c>
      <c r="S31" s="29">
        <f t="shared" si="0"/>
        <v>-8.1874215412899382E-2</v>
      </c>
      <c r="T31" s="29"/>
    </row>
    <row r="32" spans="1:20">
      <c r="A32" t="s">
        <v>8</v>
      </c>
      <c r="B32" s="9"/>
      <c r="C32" s="35"/>
      <c r="D32" s="55"/>
      <c r="E32" s="90"/>
      <c r="F32" s="56"/>
      <c r="G32" s="8"/>
      <c r="H32" s="56"/>
      <c r="I32" s="9"/>
      <c r="J32" s="52"/>
      <c r="K32" s="9"/>
      <c r="L32" s="29"/>
      <c r="M32" s="9"/>
      <c r="N32" s="29"/>
      <c r="O32" s="229"/>
      <c r="P32" s="229"/>
      <c r="Q32" s="229"/>
      <c r="R32" s="317"/>
      <c r="S32" s="29"/>
    </row>
    <row r="33" spans="1:20">
      <c r="A33" s="3" t="s">
        <v>63</v>
      </c>
      <c r="B33" s="21">
        <f>SUM(B31:B32)</f>
        <v>2028.5</v>
      </c>
      <c r="C33" s="36">
        <f>SUM(C31:C32)</f>
        <v>2282.1</v>
      </c>
      <c r="D33" s="54">
        <f>(C33-B33)/B33</f>
        <v>0.12501848656642836</v>
      </c>
      <c r="E33" s="36">
        <f>SUM(E31:E32)</f>
        <v>2342.3000000000002</v>
      </c>
      <c r="F33" s="56">
        <f>(E33-B33)/B33</f>
        <v>0.15469558787281251</v>
      </c>
      <c r="G33" s="36">
        <f>SUM(G31:G32)</f>
        <v>2263.6</v>
      </c>
      <c r="H33" s="56">
        <f>(G33-B33)/B33</f>
        <v>0.11589844712841997</v>
      </c>
      <c r="I33" s="36">
        <f>SUM(I31:I32)</f>
        <v>2295.3000000000002</v>
      </c>
      <c r="J33" s="253">
        <f>(I33-B33)/B33</f>
        <v>0.13152575794922367</v>
      </c>
      <c r="K33" s="8">
        <f>SUM(K31:K32)</f>
        <v>2131.1999999999998</v>
      </c>
      <c r="L33" s="56">
        <f>(K33-B33)/B33</f>
        <v>5.0628543258565355E-2</v>
      </c>
      <c r="M33" s="8">
        <f>SUM(M31:M32)</f>
        <v>2014.5</v>
      </c>
      <c r="N33" s="29">
        <f>(M33-B33)/B33</f>
        <v>-6.9016514666009367E-3</v>
      </c>
      <c r="O33" s="229"/>
      <c r="P33" s="229"/>
      <c r="Q33" s="229"/>
      <c r="R33" s="317"/>
      <c r="S33" s="29"/>
    </row>
    <row r="34" spans="1:20">
      <c r="A34" s="3"/>
      <c r="B34" s="21"/>
      <c r="C34" s="35"/>
      <c r="D34" s="55"/>
      <c r="E34" s="9"/>
      <c r="F34" s="56"/>
      <c r="G34" s="8"/>
      <c r="H34" s="56"/>
      <c r="I34" s="9"/>
      <c r="J34" s="52"/>
      <c r="K34" s="9"/>
      <c r="L34" s="29"/>
      <c r="M34" s="9"/>
      <c r="N34" s="29"/>
      <c r="O34" s="229"/>
      <c r="P34" s="229"/>
      <c r="Q34" s="229"/>
      <c r="R34" s="317"/>
      <c r="S34" s="29"/>
    </row>
    <row r="35" spans="1:20">
      <c r="A35" s="2" t="s">
        <v>64</v>
      </c>
      <c r="B35" s="8"/>
      <c r="C35" s="35"/>
      <c r="D35" s="55"/>
      <c r="E35" s="9"/>
      <c r="F35" s="56"/>
      <c r="G35" s="8"/>
      <c r="H35" s="56"/>
      <c r="I35" s="9"/>
      <c r="J35" s="52"/>
      <c r="K35" s="9"/>
      <c r="L35" s="29"/>
      <c r="M35" s="9"/>
      <c r="N35" s="29"/>
      <c r="O35" s="229"/>
      <c r="P35" s="229"/>
      <c r="Q35" s="229"/>
      <c r="R35" s="317"/>
      <c r="S35" s="29"/>
    </row>
    <row r="36" spans="1:20">
      <c r="A36" t="s">
        <v>9</v>
      </c>
      <c r="B36" s="9">
        <f>'ONT DIS $ 2005-06'!B36</f>
        <v>405</v>
      </c>
      <c r="C36" s="35">
        <f>'ONT DIS $ 2008-09'!B37</f>
        <v>548</v>
      </c>
      <c r="D36" s="55"/>
      <c r="E36" s="9">
        <f>'ONT Disability details 09-10'!B37</f>
        <v>482</v>
      </c>
      <c r="F36" s="56"/>
      <c r="G36" s="8">
        <f>'ONT Disability details 10-11'!B37</f>
        <v>476</v>
      </c>
      <c r="H36" s="56"/>
      <c r="I36" s="9">
        <f>'Ont Disability details 11-12'!B37</f>
        <v>481</v>
      </c>
      <c r="J36" s="52"/>
      <c r="K36" s="9">
        <f>'ONT disability details 12-13'!B38</f>
        <v>461</v>
      </c>
      <c r="L36" s="29"/>
      <c r="M36" s="9">
        <f>'ONT Disability details 13-14'!B38</f>
        <v>535</v>
      </c>
      <c r="N36" s="29"/>
      <c r="O36" s="229"/>
      <c r="P36" s="229"/>
      <c r="Q36" s="229"/>
      <c r="R36" s="317"/>
      <c r="S36" s="29"/>
    </row>
    <row r="37" spans="1:20">
      <c r="A37" t="s">
        <v>10</v>
      </c>
      <c r="B37" s="9">
        <f>'ONT DIS $ 2005-06'!B37</f>
        <v>1502</v>
      </c>
      <c r="C37" s="35">
        <f>'ONT DIS $ 2008-09'!B38</f>
        <v>1837</v>
      </c>
      <c r="D37" s="55"/>
      <c r="E37" s="9">
        <f>'ONT Disability details 09-10'!B38</f>
        <v>1930</v>
      </c>
      <c r="F37" s="56"/>
      <c r="G37" s="8">
        <f>'ONT Disability details 10-11'!B38</f>
        <v>1983</v>
      </c>
      <c r="H37" s="56"/>
      <c r="I37" s="9">
        <f>'Ont Disability details 11-12'!B38</f>
        <v>2059</v>
      </c>
      <c r="J37" s="52"/>
      <c r="K37" s="9">
        <f>'ONT disability details 12-13'!B39</f>
        <v>2138</v>
      </c>
      <c r="L37" s="29"/>
      <c r="M37" s="9">
        <f>'ONT Disability details 13-14'!B39</f>
        <v>2325</v>
      </c>
      <c r="N37" s="29"/>
      <c r="O37" s="229"/>
      <c r="P37" s="229"/>
      <c r="Q37" s="229"/>
      <c r="R37" s="317"/>
      <c r="S37" s="29"/>
    </row>
    <row r="38" spans="1:20">
      <c r="A38" s="2" t="s">
        <v>64</v>
      </c>
      <c r="B38" s="21">
        <f>'ONT DIS $ 2005-06'!B38</f>
        <v>1907</v>
      </c>
      <c r="C38" s="36">
        <f>SUM(C36:C37)</f>
        <v>2385</v>
      </c>
      <c r="D38" s="54">
        <f>(C38-B38)/B38</f>
        <v>0.25065547981122183</v>
      </c>
      <c r="E38" s="36">
        <f>SUM(E36:E37)</f>
        <v>2412</v>
      </c>
      <c r="F38" s="56">
        <f>(E38-B38)/B38</f>
        <v>0.264813843733613</v>
      </c>
      <c r="G38" s="36">
        <f>SUM(G36:G37)</f>
        <v>2459</v>
      </c>
      <c r="H38" s="56">
        <f>(G38-B38)/B38</f>
        <v>0.28945988463555322</v>
      </c>
      <c r="I38" s="36">
        <f>SUM(I36:I37)</f>
        <v>2540</v>
      </c>
      <c r="J38" s="253">
        <f>(I38-B38)/B38</f>
        <v>0.33193497640272679</v>
      </c>
      <c r="K38" s="8">
        <f>SUM(K36:K37)</f>
        <v>2599</v>
      </c>
      <c r="L38" s="56">
        <f>(K38-B38)/B38</f>
        <v>0.36287362349239644</v>
      </c>
      <c r="M38" s="8">
        <f>SUM(M36:M37)</f>
        <v>2860</v>
      </c>
      <c r="N38" s="29">
        <f>(M38-B38)/B38</f>
        <v>0.49973780807551127</v>
      </c>
      <c r="O38" s="229">
        <f>B38*1000000/$O$3</f>
        <v>152.21915087735542</v>
      </c>
      <c r="P38" s="229">
        <f>G38*1000000/$P$3</f>
        <v>187.2088470378863</v>
      </c>
      <c r="Q38" s="229">
        <f>I38*1000000/$Q$3</f>
        <v>191.50236166140814</v>
      </c>
      <c r="R38" s="317">
        <f>(M38*1000000)/$R$3</f>
        <v>211.05447242137924</v>
      </c>
      <c r="S38" s="29">
        <f t="shared" ref="S38:S42" si="2">(R38-O38)/O38</f>
        <v>0.38651721025186947</v>
      </c>
      <c r="T38" s="29"/>
    </row>
    <row r="39" spans="1:20">
      <c r="C39" s="35"/>
      <c r="D39" s="55"/>
      <c r="E39" s="9"/>
      <c r="F39" s="56"/>
      <c r="G39" s="8"/>
      <c r="H39" s="56"/>
      <c r="I39" s="9"/>
      <c r="K39" s="9"/>
      <c r="L39" s="29"/>
      <c r="M39" s="9"/>
      <c r="N39" s="29"/>
      <c r="O39" s="229"/>
      <c r="P39" s="229"/>
      <c r="Q39" s="229"/>
      <c r="R39" s="317"/>
      <c r="S39" s="29"/>
    </row>
    <row r="40" spans="1:20" ht="15.75">
      <c r="A40" s="4" t="s">
        <v>23</v>
      </c>
      <c r="B40" s="37">
        <f>B13+B19+B23+B28+B33+B38</f>
        <v>9438.5460000000003</v>
      </c>
      <c r="C40" s="159">
        <f>C13+C19+C23+C28+C33+C38</f>
        <v>11103.556</v>
      </c>
      <c r="D40" s="158">
        <f>D38-D26</f>
        <v>0.25065547981122183</v>
      </c>
      <c r="E40" s="159">
        <f>E13+E19+E23+E28+E33+E38</f>
        <v>11651.787199999999</v>
      </c>
      <c r="F40" s="158">
        <f>(E40-B40)/B40</f>
        <v>0.23448963431443767</v>
      </c>
      <c r="G40" s="159">
        <f>G13+G19+G23+G28+G33+G38</f>
        <v>12018.4452</v>
      </c>
      <c r="H40" s="238">
        <f>(G40-B40)/B40</f>
        <v>0.2733365075510571</v>
      </c>
      <c r="I40" s="159">
        <f>I13+I19+I23+I28+I33+I38</f>
        <v>12536.810560000002</v>
      </c>
      <c r="J40" s="238">
        <f>(I40-B40)/B40</f>
        <v>0.32825655137984189</v>
      </c>
      <c r="K40" s="159">
        <f>K13+K19+K23+K28+K33+K38</f>
        <v>12727.377280000001</v>
      </c>
      <c r="L40" s="56">
        <f>(K40-B40)/B40</f>
        <v>0.34844681373592928</v>
      </c>
      <c r="M40" s="159">
        <f>M13+M19+M23+M28+M33+M38</f>
        <v>13118.652249999999</v>
      </c>
      <c r="N40" s="29">
        <f>(M40-B40)/B40</f>
        <v>0.38990181856400324</v>
      </c>
      <c r="O40" s="229">
        <f>B40*1000000/$O$3</f>
        <v>753.39667416720476</v>
      </c>
      <c r="P40" s="229">
        <f>G40*1000000/$P$3</f>
        <v>914.98953602278118</v>
      </c>
      <c r="Q40" s="229">
        <f>I40*1000000/$Q$3</f>
        <v>945.20820076444136</v>
      </c>
      <c r="R40" s="317">
        <f>(M40*1000000)/$R$3</f>
        <v>968.09448584031122</v>
      </c>
      <c r="S40" s="29">
        <f t="shared" si="2"/>
        <v>0.28497313438558874</v>
      </c>
      <c r="T40" s="29"/>
    </row>
    <row r="41" spans="1:20" ht="15.75">
      <c r="A41" s="4"/>
      <c r="B41" s="4"/>
      <c r="D41" s="29"/>
      <c r="E41" s="9"/>
      <c r="F41" s="29"/>
      <c r="G41" s="9"/>
      <c r="H41" s="29"/>
      <c r="I41" s="9"/>
      <c r="O41" s="229"/>
      <c r="P41" s="229"/>
      <c r="Q41" s="229"/>
      <c r="R41" s="317"/>
      <c r="S41" s="29"/>
    </row>
    <row r="42" spans="1:20" ht="15">
      <c r="A42" s="58" t="s">
        <v>506</v>
      </c>
      <c r="B42" s="59">
        <f>B40-B28</f>
        <v>6949.2860000000001</v>
      </c>
      <c r="C42" s="59">
        <f>C40-C28</f>
        <v>8016.9009999999998</v>
      </c>
      <c r="D42" s="60">
        <f>(C42-B42)/B42</f>
        <v>0.15362945200413392</v>
      </c>
      <c r="E42" s="59">
        <f>E40-E28</f>
        <v>8292.1671999999999</v>
      </c>
      <c r="F42" s="60">
        <f>(E42-B42)/B42</f>
        <v>0.19324016884612316</v>
      </c>
      <c r="G42" s="59">
        <f>G40-G28</f>
        <v>8416.9752000000008</v>
      </c>
      <c r="H42" s="60">
        <f>(G42-B42)/B42</f>
        <v>0.21119999953952115</v>
      </c>
      <c r="I42" s="59">
        <f>I40-I28</f>
        <v>8672.7655600000016</v>
      </c>
      <c r="J42" s="60">
        <f>(I42-B42)/B42</f>
        <v>0.24800814932642024</v>
      </c>
      <c r="K42" s="59">
        <f>K40-K28</f>
        <v>8626.0292800000007</v>
      </c>
      <c r="L42" s="56">
        <f>(K42-B42)/B42</f>
        <v>0.24128281380274183</v>
      </c>
      <c r="M42" s="59">
        <f>M40-M28</f>
        <v>8876.5472499999996</v>
      </c>
      <c r="N42" s="29">
        <f>(M42-B42)/B42</f>
        <v>0.27733226837980185</v>
      </c>
      <c r="O42" s="229">
        <f>B42*1000000/$O$3</f>
        <v>554.70079398211521</v>
      </c>
      <c r="P42" s="229">
        <f>G42*1000000/$P$3</f>
        <v>640.80204259393361</v>
      </c>
      <c r="Q42" s="229">
        <f>I42*1000000/$Q$3</f>
        <v>653.87995546288403</v>
      </c>
      <c r="R42" s="317">
        <f>(M42*1000000)/$R$3</f>
        <v>655.04720166859966</v>
      </c>
      <c r="S42" s="29">
        <f t="shared" si="2"/>
        <v>0.18090186416736917</v>
      </c>
      <c r="T42" s="29"/>
    </row>
    <row r="44" spans="1:20">
      <c r="A44" t="s">
        <v>364</v>
      </c>
    </row>
    <row r="45" spans="1:20">
      <c r="E45" s="2"/>
      <c r="P45" s="2"/>
      <c r="Q45" s="2"/>
    </row>
    <row r="46" spans="1:20">
      <c r="A46" s="2"/>
      <c r="B46" s="2"/>
    </row>
    <row r="47" spans="1:20" ht="15.75">
      <c r="A47" s="4" t="s">
        <v>374</v>
      </c>
      <c r="B47" s="166" t="s">
        <v>181</v>
      </c>
      <c r="C47" s="167" t="s">
        <v>514</v>
      </c>
      <c r="D47" s="167" t="s">
        <v>689</v>
      </c>
      <c r="E47" s="167" t="s">
        <v>823</v>
      </c>
      <c r="F47" s="167" t="s">
        <v>824</v>
      </c>
    </row>
    <row r="48" spans="1:20">
      <c r="A48" t="s">
        <v>505</v>
      </c>
      <c r="B48" s="29">
        <f>F28</f>
        <v>0.34964607955778004</v>
      </c>
      <c r="C48" s="168">
        <f>H28</f>
        <v>0.44680346769722729</v>
      </c>
      <c r="D48" s="168">
        <f>J28</f>
        <v>0.55228662333384204</v>
      </c>
      <c r="E48" s="29">
        <f>L28</f>
        <v>0.64761736419658833</v>
      </c>
      <c r="F48" s="29">
        <f>N28</f>
        <v>0.70416308461149069</v>
      </c>
    </row>
    <row r="49" spans="1:15">
      <c r="A49" t="s">
        <v>373</v>
      </c>
      <c r="B49" s="29">
        <f>F40</f>
        <v>0.23448963431443767</v>
      </c>
      <c r="C49" s="168">
        <f>H40</f>
        <v>0.2733365075510571</v>
      </c>
      <c r="D49" s="168">
        <f>J40</f>
        <v>0.32825655137984189</v>
      </c>
      <c r="E49" s="29">
        <f>L40</f>
        <v>0.34844681373592928</v>
      </c>
      <c r="F49" s="29">
        <f>N40</f>
        <v>0.38990181856400324</v>
      </c>
    </row>
    <row r="50" spans="1:15" ht="25.5">
      <c r="A50" s="14" t="s">
        <v>612</v>
      </c>
      <c r="B50" s="29">
        <f>F42</f>
        <v>0.19324016884612316</v>
      </c>
      <c r="C50" s="168">
        <f>H42</f>
        <v>0.21119999953952115</v>
      </c>
      <c r="D50" s="168">
        <f>J42</f>
        <v>0.24800814932642024</v>
      </c>
      <c r="E50" s="29">
        <f>L42</f>
        <v>0.24128281380274183</v>
      </c>
      <c r="F50" s="29">
        <f>N42</f>
        <v>0.27733226837980185</v>
      </c>
    </row>
    <row r="51" spans="1:15">
      <c r="C51" s="22"/>
      <c r="D51" s="22"/>
    </row>
    <row r="52" spans="1:15">
      <c r="C52" s="22"/>
      <c r="D52" s="22"/>
    </row>
    <row r="53" spans="1:15">
      <c r="A53" t="s">
        <v>540</v>
      </c>
      <c r="C53" s="22"/>
      <c r="D53" s="22"/>
    </row>
    <row r="54" spans="1:15">
      <c r="A54" s="52" t="s">
        <v>766</v>
      </c>
      <c r="C54" s="22"/>
      <c r="D54" s="22"/>
      <c r="O54" s="7"/>
    </row>
    <row r="55" spans="1:15">
      <c r="A55" s="274" t="s">
        <v>773</v>
      </c>
      <c r="B55" s="3"/>
      <c r="C55" s="22"/>
      <c r="D55" s="22"/>
      <c r="O55" s="7"/>
    </row>
    <row r="56" spans="1:15">
      <c r="A56" s="274" t="s">
        <v>820</v>
      </c>
      <c r="C56" s="22"/>
      <c r="D56" s="22"/>
      <c r="O56" s="7"/>
    </row>
    <row r="57" spans="1:15">
      <c r="A57" s="2"/>
      <c r="B57" s="2"/>
      <c r="C57" s="22"/>
      <c r="D57" s="22"/>
      <c r="O57" s="7"/>
    </row>
    <row r="58" spans="1:15">
      <c r="C58" s="22"/>
      <c r="D58" s="22"/>
      <c r="O58" s="7"/>
    </row>
    <row r="59" spans="1:15">
      <c r="C59" s="22"/>
      <c r="D59" s="22"/>
      <c r="O59" s="7"/>
    </row>
    <row r="60" spans="1:15">
      <c r="C60" s="22"/>
      <c r="D60" s="22"/>
      <c r="O60" s="7"/>
    </row>
    <row r="61" spans="1:15">
      <c r="A61" s="3"/>
      <c r="B61" s="3"/>
      <c r="C61" s="22"/>
      <c r="D61" s="22"/>
      <c r="O61" s="7"/>
    </row>
    <row r="62" spans="1:15">
      <c r="C62" s="22"/>
      <c r="D62" s="22"/>
      <c r="O62" s="7"/>
    </row>
    <row r="63" spans="1:15">
      <c r="A63" s="2"/>
      <c r="B63" s="2"/>
      <c r="C63" s="22"/>
      <c r="D63" s="22"/>
      <c r="O63" s="7"/>
    </row>
    <row r="64" spans="1:15">
      <c r="C64" s="22"/>
      <c r="D64" s="22"/>
      <c r="O64" s="7"/>
    </row>
    <row r="65" spans="1:15">
      <c r="A65" s="3"/>
      <c r="B65" s="3"/>
      <c r="C65" s="22"/>
      <c r="D65" s="22"/>
      <c r="O65" s="7"/>
    </row>
    <row r="66" spans="1:15">
      <c r="C66" s="22"/>
      <c r="D66" s="22"/>
      <c r="O66" s="7"/>
    </row>
    <row r="67" spans="1:15">
      <c r="A67" s="2"/>
      <c r="B67" s="2"/>
      <c r="C67" s="22"/>
      <c r="D67" s="22"/>
      <c r="L67" s="9"/>
      <c r="M67" s="9"/>
      <c r="O67" s="7"/>
    </row>
    <row r="68" spans="1:15">
      <c r="C68" s="22"/>
      <c r="D68" s="22"/>
      <c r="O68" s="7"/>
    </row>
    <row r="69" spans="1:15">
      <c r="C69" s="22"/>
      <c r="D69" s="22"/>
      <c r="O69" s="7"/>
    </row>
    <row r="70" spans="1:15">
      <c r="A70" s="3"/>
      <c r="B70" s="3"/>
      <c r="C70" s="22"/>
      <c r="D70" s="22"/>
      <c r="O70" s="7"/>
    </row>
    <row r="71" spans="1:15">
      <c r="C71" s="22"/>
      <c r="D71" s="22"/>
      <c r="O71" s="7"/>
    </row>
    <row r="72" spans="1:15">
      <c r="A72" s="2"/>
      <c r="B72" s="2"/>
      <c r="C72" s="22"/>
      <c r="D72" s="22"/>
      <c r="O72" s="7"/>
    </row>
    <row r="73" spans="1:15">
      <c r="C73" s="22"/>
      <c r="D73" s="22"/>
      <c r="O73" s="7"/>
    </row>
    <row r="74" spans="1:15">
      <c r="C74" s="22"/>
      <c r="D74" s="22"/>
      <c r="O74" s="7"/>
    </row>
    <row r="75" spans="1:15">
      <c r="A75" s="3"/>
      <c r="B75" s="3"/>
      <c r="C75" s="22"/>
      <c r="D75" s="22"/>
      <c r="O75" s="7"/>
    </row>
    <row r="76" spans="1:15">
      <c r="C76" s="22"/>
      <c r="D76" s="22"/>
      <c r="O76" s="7"/>
    </row>
    <row r="77" spans="1:15">
      <c r="C77" s="22"/>
      <c r="D77" s="22"/>
      <c r="O77" s="7"/>
    </row>
    <row r="78" spans="1:15">
      <c r="C78" s="22"/>
      <c r="D78" s="22"/>
      <c r="O78" s="7"/>
    </row>
    <row r="79" spans="1:15">
      <c r="A79" s="3"/>
      <c r="B79" s="3"/>
      <c r="C79" s="22"/>
      <c r="D79" s="22"/>
      <c r="O79" s="7"/>
    </row>
    <row r="80" spans="1:15">
      <c r="C80" s="22"/>
      <c r="D80" s="22"/>
    </row>
    <row r="81" spans="1:5" ht="15.75">
      <c r="A81" s="4"/>
      <c r="B81" s="4"/>
    </row>
    <row r="82" spans="1:5" ht="15.75">
      <c r="A82" s="4"/>
      <c r="B82" s="4"/>
    </row>
    <row r="83" spans="1:5" ht="15.75">
      <c r="A83" s="4"/>
      <c r="B83" s="4"/>
    </row>
    <row r="94" spans="1:5">
      <c r="E94" s="7"/>
    </row>
    <row r="95" spans="1:5">
      <c r="E95" s="7"/>
    </row>
    <row r="96" spans="1:5">
      <c r="E96" s="7"/>
    </row>
    <row r="97" spans="5:5">
      <c r="E97" s="7"/>
    </row>
  </sheetData>
  <mergeCells count="1">
    <mergeCell ref="S3:U3"/>
  </mergeCells>
  <pageMargins left="0.70866141732283472" right="0.70866141732283472" top="0.74803149606299213" bottom="0.74803149606299213" header="0.31496062992125984" footer="0.31496062992125984"/>
  <pageSetup scale="85" fitToWidth="2" orientation="landscape" verticalDpi="0" r:id="rId1"/>
</worksheet>
</file>

<file path=xl/worksheets/sheet15.xml><?xml version="1.0" encoding="utf-8"?>
<worksheet xmlns="http://schemas.openxmlformats.org/spreadsheetml/2006/main" xmlns:r="http://schemas.openxmlformats.org/officeDocument/2006/relationships">
  <sheetPr>
    <tabColor rgb="FFFFC000"/>
    <pageSetUpPr fitToPage="1"/>
  </sheetPr>
  <dimension ref="A1:R103"/>
  <sheetViews>
    <sheetView workbookViewId="0">
      <selection activeCell="A32" sqref="A32"/>
    </sheetView>
  </sheetViews>
  <sheetFormatPr defaultColWidth="2.7109375" defaultRowHeight="12.75"/>
  <cols>
    <col min="1" max="1" width="47.7109375" customWidth="1"/>
    <col min="2" max="2" width="10.140625" customWidth="1"/>
    <col min="3" max="3" width="2.7109375" customWidth="1"/>
    <col min="4" max="4" width="10.140625" customWidth="1"/>
    <col min="5" max="5" width="2.7109375" customWidth="1"/>
    <col min="6" max="6" width="9.42578125" customWidth="1"/>
    <col min="7" max="7" width="10.140625" customWidth="1"/>
    <col min="8" max="8" width="2.7109375" customWidth="1"/>
    <col min="9" max="9" width="13.7109375" customWidth="1"/>
    <col min="10" max="10" width="10.140625" customWidth="1"/>
    <col min="11" max="11" width="13.7109375" bestFit="1" customWidth="1"/>
    <col min="12" max="12" width="10.140625" bestFit="1" customWidth="1"/>
    <col min="14" max="14" width="13.7109375" customWidth="1"/>
    <col min="17" max="17" width="9.28515625" bestFit="1" customWidth="1"/>
  </cols>
  <sheetData>
    <row r="1" spans="1:18" ht="16.5">
      <c r="A1" s="69" t="s">
        <v>271</v>
      </c>
    </row>
    <row r="2" spans="1:18" ht="16.5">
      <c r="A2" s="70"/>
      <c r="B2" s="69" t="s">
        <v>239</v>
      </c>
      <c r="C2" s="69"/>
    </row>
    <row r="3" spans="1:18" ht="16.5">
      <c r="A3" s="70"/>
    </row>
    <row r="4" spans="1:18">
      <c r="D4" s="1"/>
      <c r="E4" s="1"/>
      <c r="F4" s="1"/>
    </row>
    <row r="5" spans="1:18" ht="15.75">
      <c r="B5" s="23" t="s">
        <v>58</v>
      </c>
      <c r="C5" s="23"/>
      <c r="D5" s="23" t="s">
        <v>104</v>
      </c>
      <c r="E5" s="23"/>
      <c r="F5" s="23" t="s">
        <v>242</v>
      </c>
      <c r="G5" s="23" t="s">
        <v>181</v>
      </c>
      <c r="H5" s="23"/>
      <c r="I5" s="65" t="s">
        <v>170</v>
      </c>
      <c r="J5" s="23" t="s">
        <v>514</v>
      </c>
      <c r="K5" s="65" t="s">
        <v>170</v>
      </c>
      <c r="L5" s="23" t="s">
        <v>689</v>
      </c>
      <c r="M5" s="23"/>
      <c r="N5" s="65" t="s">
        <v>170</v>
      </c>
    </row>
    <row r="6" spans="1:18" ht="15.75">
      <c r="B6" s="66" t="s">
        <v>16</v>
      </c>
      <c r="C6" s="66"/>
      <c r="D6" s="66" t="s">
        <v>16</v>
      </c>
      <c r="E6" s="66"/>
      <c r="F6" s="66" t="s">
        <v>241</v>
      </c>
      <c r="G6" s="66" t="s">
        <v>16</v>
      </c>
      <c r="H6" s="66"/>
      <c r="I6" s="68" t="s">
        <v>240</v>
      </c>
      <c r="J6" s="66" t="s">
        <v>16</v>
      </c>
      <c r="K6" s="68" t="s">
        <v>240</v>
      </c>
      <c r="L6" s="66" t="s">
        <v>16</v>
      </c>
      <c r="M6" s="66"/>
      <c r="N6" s="68" t="s">
        <v>240</v>
      </c>
      <c r="R6" s="2"/>
    </row>
    <row r="7" spans="1:18">
      <c r="B7" s="2"/>
      <c r="C7" s="2"/>
    </row>
    <row r="8" spans="1:18" ht="15.75">
      <c r="A8" s="4" t="s">
        <v>11</v>
      </c>
    </row>
    <row r="9" spans="1:18">
      <c r="A9" t="s">
        <v>0</v>
      </c>
      <c r="B9" s="9">
        <f>'ONT DIS $ 2005-06'!B6</f>
        <v>210.06</v>
      </c>
      <c r="C9" t="s">
        <v>237</v>
      </c>
      <c r="D9" s="35">
        <f>'ONT DIS $ 2008-09'!B6</f>
        <v>247.65</v>
      </c>
      <c r="E9" s="35" t="s">
        <v>237</v>
      </c>
      <c r="F9" s="35"/>
      <c r="G9" s="9">
        <f>'ONT Disability details 09-10'!B6</f>
        <v>240.56</v>
      </c>
      <c r="H9" s="9" t="s">
        <v>237</v>
      </c>
      <c r="J9" s="9">
        <f>'ONT Disability details 10-11'!B6</f>
        <v>252.20000000000002</v>
      </c>
      <c r="L9" s="9">
        <f>'Ont Disability details 11-12'!B6</f>
        <v>260.55</v>
      </c>
    </row>
    <row r="10" spans="1:18">
      <c r="A10" t="s">
        <v>1</v>
      </c>
      <c r="B10" s="9">
        <f>'ONT DIS $ 2005-06'!B7</f>
        <v>340.375</v>
      </c>
      <c r="C10" t="s">
        <v>237</v>
      </c>
      <c r="D10" s="35">
        <f>'ONT DIS $ 2008-09'!B7</f>
        <v>388.05</v>
      </c>
      <c r="E10" s="35" t="s">
        <v>237</v>
      </c>
      <c r="F10" s="35"/>
      <c r="G10" s="9">
        <f>'ONT Disability details 09-10'!B7</f>
        <v>388</v>
      </c>
      <c r="H10" s="9" t="s">
        <v>237</v>
      </c>
      <c r="J10" s="9">
        <f>'ONT Disability details 10-11'!B7</f>
        <v>419.04</v>
      </c>
      <c r="L10" s="9">
        <f>'Ont Disability details 11-12'!B7</f>
        <v>438.11</v>
      </c>
      <c r="Q10" s="29"/>
    </row>
    <row r="11" spans="1:18">
      <c r="A11" t="s">
        <v>14</v>
      </c>
      <c r="B11" s="9">
        <f>'ONT DIS $ 2005-06'!B8</f>
        <v>33.064999999999998</v>
      </c>
      <c r="C11" t="s">
        <v>237</v>
      </c>
      <c r="D11" s="35">
        <f>'ONT DIS $ 2008-09'!B8</f>
        <v>35.1</v>
      </c>
      <c r="E11" s="35" t="s">
        <v>237</v>
      </c>
      <c r="F11" s="35"/>
      <c r="G11" s="9">
        <f>'ONT Disability details 09-10'!B8</f>
        <v>37.636000000000003</v>
      </c>
      <c r="H11" s="9" t="s">
        <v>237</v>
      </c>
      <c r="J11" s="9">
        <f>'ONT Disability details 10-11'!B8</f>
        <v>38.800000000000004</v>
      </c>
      <c r="L11" s="9">
        <f>'Ont Disability details 11-12'!B8</f>
        <v>40.53</v>
      </c>
      <c r="Q11" s="29"/>
    </row>
    <row r="12" spans="1:18">
      <c r="A12" t="s">
        <v>2</v>
      </c>
      <c r="B12" s="9">
        <f>'ONT DIS $ 2005-06'!B9</f>
        <v>1.9450000000000001</v>
      </c>
      <c r="D12" s="35">
        <f>'ONT DIS $ 2008-09'!B9</f>
        <v>1.9500000000000002</v>
      </c>
      <c r="E12" s="35"/>
      <c r="F12" s="35"/>
      <c r="G12" s="9">
        <f>'ONT Disability details 09-10'!B9</f>
        <v>1.94</v>
      </c>
      <c r="H12" s="9"/>
      <c r="J12" s="9">
        <f>'ONT Disability details 10-11'!B9</f>
        <v>1.94</v>
      </c>
      <c r="L12" s="9">
        <f>'Ont Disability details 11-12'!B9</f>
        <v>1.9300000000000002</v>
      </c>
      <c r="Q12" s="29"/>
    </row>
    <row r="13" spans="1:18">
      <c r="A13" s="52" t="s">
        <v>273</v>
      </c>
      <c r="B13" s="9">
        <f>'ONT DIS $ 2005-06'!B10</f>
        <v>0</v>
      </c>
      <c r="C13" t="s">
        <v>237</v>
      </c>
      <c r="D13" s="35">
        <f>'ONT DIS $ 2008-09'!B10</f>
        <v>0</v>
      </c>
      <c r="E13" s="35"/>
      <c r="F13" s="35"/>
      <c r="G13" s="9">
        <f>'ONT Disability details 09-10'!B10</f>
        <v>0</v>
      </c>
      <c r="H13" s="9" t="s">
        <v>237</v>
      </c>
      <c r="J13" s="9">
        <f>'ONT Disability details 10-11'!B10</f>
        <v>0</v>
      </c>
      <c r="L13" s="9">
        <f>'Ont Disability details 11-12'!B10</f>
        <v>0</v>
      </c>
      <c r="Q13" s="29"/>
    </row>
    <row r="14" spans="1:18">
      <c r="A14" t="s">
        <v>3</v>
      </c>
      <c r="B14" s="9">
        <f>'ONT DIS $ 2005-06'!B11</f>
        <v>44.734999999999999</v>
      </c>
      <c r="C14" t="s">
        <v>237</v>
      </c>
      <c r="D14" s="35">
        <f>'ONT DIS $ 2008-09'!B11</f>
        <v>46.800000000000004</v>
      </c>
      <c r="E14" s="35"/>
      <c r="F14" s="35"/>
      <c r="G14" s="9">
        <f>'ONT Disability details 09-10'!B11</f>
        <v>50.440000000000005</v>
      </c>
      <c r="H14" s="9"/>
      <c r="J14" s="9">
        <f>'ONT Disability details 10-11'!B11</f>
        <v>52.38</v>
      </c>
      <c r="L14" s="9">
        <f>'Ont Disability details 11-12'!B11</f>
        <v>52.11</v>
      </c>
      <c r="Q14" s="29"/>
    </row>
    <row r="15" spans="1:18">
      <c r="A15" t="s">
        <v>15</v>
      </c>
      <c r="B15" s="9">
        <f>'ONT DIS $ 2005-06'!B12</f>
        <v>35.01</v>
      </c>
      <c r="D15" s="35">
        <f>'ONT DIS $ 2008-09'!B12</f>
        <v>62.751000000000005</v>
      </c>
      <c r="E15" s="35"/>
      <c r="F15" s="35"/>
      <c r="G15" s="9">
        <f>'ONT Disability details 09-10'!B12</f>
        <v>76.242000000000004</v>
      </c>
      <c r="H15" s="9"/>
      <c r="J15" s="9">
        <f>'ONT Disability details 10-11'!B12</f>
        <v>85.515200000000007</v>
      </c>
      <c r="L15" s="9">
        <f>'Ont Disability details 11-12'!B12</f>
        <v>97.835560000000001</v>
      </c>
      <c r="Q15" s="29"/>
    </row>
    <row r="16" spans="1:18">
      <c r="A16" s="61" t="s">
        <v>24</v>
      </c>
      <c r="B16" s="62">
        <f>SUM(B9:B15)</f>
        <v>665.19</v>
      </c>
      <c r="C16" s="61" t="s">
        <v>237</v>
      </c>
      <c r="D16" s="73">
        <f>SUM(D9:D15)</f>
        <v>782.30100000000004</v>
      </c>
      <c r="E16" s="132" t="s">
        <v>237</v>
      </c>
      <c r="F16" s="98">
        <f>(D16-B16)/B16</f>
        <v>0.17605646507013031</v>
      </c>
      <c r="G16" s="73">
        <f>SUM(G9:G15)</f>
        <v>794.81799999999998</v>
      </c>
      <c r="H16" s="132" t="s">
        <v>237</v>
      </c>
      <c r="I16" s="95">
        <f>(G16-B16)/B16</f>
        <v>0.19487364512394942</v>
      </c>
      <c r="J16" s="73">
        <f>SUM(J9:J15)</f>
        <v>849.87520000000006</v>
      </c>
      <c r="K16" s="95">
        <f>(J16-B16)/B16</f>
        <v>0.2776427787549422</v>
      </c>
      <c r="L16" s="73">
        <f>SUM(L9:L15)</f>
        <v>891.06556</v>
      </c>
      <c r="N16" s="95">
        <f>(L16-B16)/B16</f>
        <v>0.33956547753273492</v>
      </c>
      <c r="Q16" s="29"/>
    </row>
    <row r="17" spans="1:17">
      <c r="B17" s="9"/>
      <c r="D17" s="35"/>
      <c r="E17" s="35"/>
      <c r="F17" s="99"/>
      <c r="G17" s="9"/>
      <c r="H17" s="9"/>
      <c r="I17" s="96"/>
      <c r="J17" s="9"/>
      <c r="L17" s="9"/>
      <c r="Q17" s="29"/>
    </row>
    <row r="18" spans="1:17" ht="15.75">
      <c r="A18" s="4" t="s">
        <v>4</v>
      </c>
      <c r="B18" s="8"/>
      <c r="C18" s="2"/>
      <c r="D18" s="35"/>
      <c r="E18" s="35"/>
      <c r="F18" s="99"/>
      <c r="G18" s="9"/>
      <c r="H18" s="9"/>
      <c r="I18" s="96"/>
      <c r="J18" s="9"/>
      <c r="L18" s="9"/>
      <c r="Q18" s="29"/>
    </row>
    <row r="19" spans="1:17">
      <c r="A19" t="s">
        <v>5</v>
      </c>
      <c r="B19" s="9">
        <f>'ONT DIS $ 2005-06'!B16</f>
        <v>1524.6</v>
      </c>
      <c r="D19" s="35">
        <f>'ONT DIS $ 2008-09'!B16</f>
        <v>1656.8</v>
      </c>
      <c r="E19" s="35"/>
      <c r="F19" s="99">
        <f>(D19-B19)/B19</f>
        <v>8.671126852945038E-2</v>
      </c>
      <c r="G19" s="9">
        <f>'ONT Disability details 09-10'!B16</f>
        <v>1732.2</v>
      </c>
      <c r="H19" s="9" t="s">
        <v>237</v>
      </c>
      <c r="I19" s="96">
        <f>(G19-B19)/B19</f>
        <v>0.13616686343959081</v>
      </c>
      <c r="J19" s="9">
        <f>'ONT Disability details 10-11'!B16</f>
        <v>1827.9</v>
      </c>
      <c r="K19" s="95">
        <f>(J19-B19)/B19</f>
        <v>0.19893742621015362</v>
      </c>
      <c r="L19" s="9">
        <f>'Ont Disability details 11-12'!B16</f>
        <v>1937.4</v>
      </c>
      <c r="N19" s="95">
        <f>(L19-B19)/B19</f>
        <v>0.27075954348681636</v>
      </c>
      <c r="Q19" s="29"/>
    </row>
    <row r="20" spans="1:17">
      <c r="A20" t="s">
        <v>6</v>
      </c>
      <c r="B20" s="9">
        <f>'ONT DIS $ 2005-06'!B18</f>
        <v>259.3</v>
      </c>
      <c r="D20" s="156">
        <f>'ONT DIS $ 2008-09'!B18</f>
        <v>289.5</v>
      </c>
      <c r="E20" s="35"/>
      <c r="F20" s="99">
        <f>(D20-B20)/B20</f>
        <v>0.11646741226378707</v>
      </c>
      <c r="G20" s="102">
        <f>'ONT Disability details 09-10'!B18</f>
        <v>308.39999999999998</v>
      </c>
      <c r="H20" s="102"/>
      <c r="I20" s="163">
        <f>(G20-B20)/B20</f>
        <v>0.18935595834940211</v>
      </c>
      <c r="J20" s="9">
        <f>'ONT Disability details 10-11'!B18</f>
        <v>308.5</v>
      </c>
      <c r="K20" s="95">
        <f>(J20-B20)/B20</f>
        <v>0.18974161203239487</v>
      </c>
      <c r="L20" s="9">
        <f>'Ont Disability details 11-12'!B18</f>
        <v>327.3</v>
      </c>
      <c r="N20" s="95">
        <f>(L20-B20)/B20</f>
        <v>0.26224450443501734</v>
      </c>
      <c r="Q20" s="29"/>
    </row>
    <row r="21" spans="1:17">
      <c r="A21" s="61" t="s">
        <v>24</v>
      </c>
      <c r="B21" s="62">
        <f>SUM(B19:B20)</f>
        <v>1783.8999999999999</v>
      </c>
      <c r="C21" s="61"/>
      <c r="D21" s="157">
        <f>SUM(D19:D20)</f>
        <v>1946.3</v>
      </c>
      <c r="E21" s="73"/>
      <c r="F21" s="98">
        <f>(D21-B21)/B21</f>
        <v>9.1036493076966249E-2</v>
      </c>
      <c r="G21" s="157">
        <f>SUM(G19:G20)</f>
        <v>2040.6</v>
      </c>
      <c r="H21" s="157" t="s">
        <v>237</v>
      </c>
      <c r="I21" s="163">
        <f>(G21-B21)/B21</f>
        <v>0.14389820057178096</v>
      </c>
      <c r="J21" s="157">
        <f>SUM(J19:J20)</f>
        <v>2136.4</v>
      </c>
      <c r="K21" s="95">
        <f>(J21-B21)/B21</f>
        <v>0.19760076237457272</v>
      </c>
      <c r="L21" s="157">
        <f>SUM(L19:L20)</f>
        <v>2264.7000000000003</v>
      </c>
      <c r="N21" s="95">
        <f>(L21-B21)/B21</f>
        <v>0.26952183418353071</v>
      </c>
      <c r="Q21" s="29"/>
    </row>
    <row r="22" spans="1:17">
      <c r="B22" s="9"/>
      <c r="D22" s="35"/>
      <c r="E22" s="35"/>
      <c r="F22" s="99"/>
      <c r="G22" s="9"/>
      <c r="H22" s="9"/>
      <c r="I22" s="96"/>
      <c r="J22" s="9"/>
      <c r="L22" s="9"/>
      <c r="Q22" s="29"/>
    </row>
    <row r="23" spans="1:17" ht="15.75">
      <c r="A23" s="4" t="s">
        <v>99</v>
      </c>
      <c r="B23" s="8"/>
      <c r="C23" s="2"/>
      <c r="D23" s="35"/>
      <c r="E23" s="35"/>
      <c r="F23" s="99"/>
      <c r="G23" s="9"/>
      <c r="H23" s="9"/>
      <c r="I23" s="96"/>
      <c r="J23" s="9"/>
      <c r="L23" s="9"/>
      <c r="Q23" s="29"/>
    </row>
    <row r="24" spans="1:17">
      <c r="A24" t="s">
        <v>100</v>
      </c>
      <c r="B24" s="9">
        <f>'ONT DIS $ 2005-06'!B21</f>
        <v>564.69600000000003</v>
      </c>
      <c r="D24" s="35">
        <f>'ONT DIS $ 2008-09'!B22</f>
        <v>621.20000000000005</v>
      </c>
      <c r="E24" s="35"/>
      <c r="F24" s="99"/>
      <c r="G24" s="9">
        <f>'ONT Disability details 09-10'!B22</f>
        <v>702.44920000000002</v>
      </c>
      <c r="H24" s="9"/>
      <c r="I24" s="96"/>
      <c r="J24" s="9">
        <f>'ONT Disability details 10-11'!B22</f>
        <v>708.1</v>
      </c>
      <c r="L24" s="9">
        <f>'Ont Disability details 11-12'!B22</f>
        <v>681.69999999999993</v>
      </c>
      <c r="N24" s="95"/>
      <c r="Q24" s="29"/>
    </row>
    <row r="25" spans="1:17">
      <c r="A25" s="61" t="s">
        <v>24</v>
      </c>
      <c r="B25" s="62">
        <f>SUM(B24)</f>
        <v>564.69600000000003</v>
      </c>
      <c r="C25" s="61"/>
      <c r="D25" s="73">
        <f>SUM(D24)</f>
        <v>621.20000000000005</v>
      </c>
      <c r="E25" s="73"/>
      <c r="F25" s="98">
        <f>(D25-B25)/B25</f>
        <v>0.10006091773272702</v>
      </c>
      <c r="G25" s="73">
        <f>SUM(G24)</f>
        <v>702.44920000000002</v>
      </c>
      <c r="H25" s="73"/>
      <c r="I25" s="95">
        <f>(G25-B25)/B25</f>
        <v>0.24394222732231144</v>
      </c>
      <c r="J25" s="73">
        <f>SUM(J24)</f>
        <v>708.1</v>
      </c>
      <c r="K25" s="95">
        <f>(J25-B25)/B25</f>
        <v>0.25394902744131354</v>
      </c>
      <c r="L25" s="73">
        <f>SUM(L24)</f>
        <v>681.69999999999993</v>
      </c>
      <c r="N25" s="95">
        <f>(L25-B25)/B25</f>
        <v>0.20719820930199595</v>
      </c>
      <c r="Q25" s="29"/>
    </row>
    <row r="26" spans="1:17">
      <c r="B26" s="9"/>
      <c r="D26" s="35"/>
      <c r="E26" s="35"/>
      <c r="F26" s="99"/>
      <c r="G26" s="9"/>
      <c r="H26" s="9"/>
      <c r="I26" s="96"/>
      <c r="J26" s="9"/>
      <c r="L26" s="9"/>
      <c r="Q26" s="29"/>
    </row>
    <row r="27" spans="1:17" ht="15.75">
      <c r="A27" s="4" t="s">
        <v>18</v>
      </c>
      <c r="B27" s="8"/>
      <c r="C27" s="2"/>
      <c r="D27" s="35"/>
      <c r="E27" s="35"/>
      <c r="F27" s="99"/>
      <c r="G27" s="9"/>
      <c r="H27" s="9"/>
      <c r="I27" s="96"/>
      <c r="J27" s="9"/>
      <c r="L27" s="9"/>
      <c r="O27" s="9"/>
      <c r="Q27" s="29"/>
    </row>
    <row r="28" spans="1:17">
      <c r="A28" t="s">
        <v>372</v>
      </c>
      <c r="B28" s="45">
        <f>'ONT DIS $ 2005-06'!B25</f>
        <v>2432.5</v>
      </c>
      <c r="C28" s="39" t="s">
        <v>237</v>
      </c>
      <c r="D28" s="267">
        <f>'ONT DIS $ 2008-09'!B26</f>
        <v>3025</v>
      </c>
      <c r="E28" s="267" t="s">
        <v>237</v>
      </c>
      <c r="F28" s="268"/>
      <c r="G28" s="45">
        <f>'ONT Disability details 09-10'!B26</f>
        <v>3294.5</v>
      </c>
      <c r="H28" s="45" t="s">
        <v>237</v>
      </c>
      <c r="I28" s="129">
        <f>(G28-B28)/B28</f>
        <v>0.35436793422404933</v>
      </c>
      <c r="J28" s="45">
        <f>'ONT Disability details 10-11'!B26</f>
        <v>3535.8</v>
      </c>
      <c r="K28" s="95">
        <f>(J28-B28)/B28</f>
        <v>0.45356628982528269</v>
      </c>
      <c r="L28" s="45">
        <f>'Ont Disability details 11-12'!B26</f>
        <v>3794.8</v>
      </c>
      <c r="M28" s="39"/>
      <c r="N28" s="95">
        <f>(L28-B28)/B28</f>
        <v>0.56004110996916756</v>
      </c>
      <c r="Q28" s="29"/>
    </row>
    <row r="29" spans="1:17" ht="13.5" customHeight="1">
      <c r="A29" s="74" t="s">
        <v>12</v>
      </c>
      <c r="B29" s="45">
        <f>'ONT DIS $ 2005-06'!B26</f>
        <v>56.760000000000005</v>
      </c>
      <c r="C29" s="39"/>
      <c r="D29" s="267">
        <f>'ONT DIS $ 2008-09'!B27</f>
        <v>61.655000000000001</v>
      </c>
      <c r="E29" s="269"/>
      <c r="F29" s="268"/>
      <c r="G29" s="45">
        <f>'ONT Disability details 09-10'!B27</f>
        <v>65.12</v>
      </c>
      <c r="H29" s="45"/>
      <c r="I29" s="129">
        <f>(G29-B29)/B29</f>
        <v>0.14728682170542634</v>
      </c>
      <c r="J29" s="45">
        <f>'ONT Disability details 10-11'!B27</f>
        <v>65.67</v>
      </c>
      <c r="K29" s="95">
        <f>(J29-B29)/B29</f>
        <v>0.15697674418604643</v>
      </c>
      <c r="L29" s="45">
        <f>'Ont Disability details 11-12'!B27</f>
        <v>69.245000000000005</v>
      </c>
      <c r="M29" s="39"/>
      <c r="N29" s="95">
        <f>(L29-B29)/B29</f>
        <v>0.21996124031007749</v>
      </c>
      <c r="Q29" s="29"/>
    </row>
    <row r="30" spans="1:17" ht="18">
      <c r="A30" s="61" t="s">
        <v>24</v>
      </c>
      <c r="B30" s="104">
        <f>SUM(B28:B29)</f>
        <v>2489.2600000000002</v>
      </c>
      <c r="C30" s="258" t="s">
        <v>237</v>
      </c>
      <c r="D30" s="270">
        <f>SUM(D28:D29)</f>
        <v>3086.6550000000002</v>
      </c>
      <c r="E30" s="269" t="s">
        <v>237</v>
      </c>
      <c r="F30" s="268">
        <f>(D30-B30)/B30</f>
        <v>0.23998899271269369</v>
      </c>
      <c r="G30" s="270">
        <f>SUM(G28:G29)</f>
        <v>3359.62</v>
      </c>
      <c r="H30" s="270" t="s">
        <v>237</v>
      </c>
      <c r="I30" s="129">
        <f>(G30-B30)/B30</f>
        <v>0.34964607955778004</v>
      </c>
      <c r="J30" s="270">
        <f>SUM(J28:J29)</f>
        <v>3601.4700000000003</v>
      </c>
      <c r="K30" s="95">
        <f>(J30-B30)/B30</f>
        <v>0.44680346769722729</v>
      </c>
      <c r="L30" s="270">
        <f>SUM(L28:L29)</f>
        <v>3864.0450000000001</v>
      </c>
      <c r="M30" s="39"/>
      <c r="N30" s="95">
        <f>(L30-B30)/B30</f>
        <v>0.55228662333384204</v>
      </c>
      <c r="Q30" s="29"/>
    </row>
    <row r="31" spans="1:17">
      <c r="B31" s="9"/>
      <c r="D31" s="35"/>
      <c r="E31" s="35"/>
      <c r="F31" s="99"/>
      <c r="G31" s="9"/>
      <c r="H31" s="9"/>
      <c r="I31" s="96"/>
      <c r="J31" s="9"/>
      <c r="L31" s="9"/>
      <c r="Q31" s="29"/>
    </row>
    <row r="32" spans="1:17" ht="15.75">
      <c r="A32" s="4" t="s">
        <v>13</v>
      </c>
      <c r="B32" s="8"/>
      <c r="C32" s="2"/>
      <c r="D32" s="35"/>
      <c r="E32" s="35"/>
      <c r="F32" s="99"/>
      <c r="G32" s="9"/>
      <c r="H32" s="9"/>
      <c r="I32" s="96"/>
      <c r="J32" s="9"/>
      <c r="L32" s="9"/>
      <c r="Q32" s="29"/>
    </row>
    <row r="33" spans="1:18" ht="18">
      <c r="A33" t="s">
        <v>7</v>
      </c>
      <c r="B33" s="25">
        <f>'ONT DIS $ 2005-06'!B30</f>
        <v>2028.5</v>
      </c>
      <c r="C33" s="72"/>
      <c r="D33" s="35">
        <f>'ONT DIS $ 2008-09'!B31</f>
        <v>2282.1</v>
      </c>
      <c r="E33" s="35"/>
      <c r="F33" s="99"/>
      <c r="G33" s="9">
        <f>'ONT Disability details 09-10'!B31</f>
        <v>2342.3000000000002</v>
      </c>
      <c r="H33" s="9"/>
      <c r="I33" s="96"/>
      <c r="J33" s="25">
        <f>'ONT Disability details 10-11'!B31</f>
        <v>2263.6</v>
      </c>
      <c r="L33" s="9">
        <f>'Ont Disability details 11-12'!B31</f>
        <v>2295.3000000000002</v>
      </c>
      <c r="Q33" s="29"/>
    </row>
    <row r="34" spans="1:18">
      <c r="A34" t="s">
        <v>8</v>
      </c>
      <c r="B34" s="9"/>
      <c r="D34" s="35"/>
      <c r="E34" s="35"/>
      <c r="F34" s="99"/>
      <c r="G34" s="90"/>
      <c r="H34" s="90"/>
      <c r="I34" s="96"/>
      <c r="J34" s="9"/>
      <c r="L34" s="9"/>
      <c r="Q34" s="29"/>
    </row>
    <row r="35" spans="1:18">
      <c r="A35" s="61" t="s">
        <v>24</v>
      </c>
      <c r="B35" s="62">
        <f>SUM(B33:B34)</f>
        <v>2028.5</v>
      </c>
      <c r="C35" s="61"/>
      <c r="D35" s="73">
        <f>SUM(D33:D34)</f>
        <v>2282.1</v>
      </c>
      <c r="E35" s="73"/>
      <c r="F35" s="98">
        <f>(D35-B35)/B35</f>
        <v>0.12501848656642836</v>
      </c>
      <c r="G35" s="73">
        <f>SUM(G33:G34)</f>
        <v>2342.3000000000002</v>
      </c>
      <c r="H35" s="73"/>
      <c r="I35" s="95">
        <f>(G35-B35)/B35</f>
        <v>0.15469558787281251</v>
      </c>
      <c r="J35" s="73">
        <f>SUM(J33:J34)</f>
        <v>2263.6</v>
      </c>
      <c r="K35" s="95">
        <f>(J35-B35)/B35</f>
        <v>0.11589844712841997</v>
      </c>
      <c r="L35" s="73">
        <f>SUM(L33:L34)</f>
        <v>2295.3000000000002</v>
      </c>
      <c r="N35" s="95">
        <f>(L35-B35)/B35</f>
        <v>0.13152575794922367</v>
      </c>
      <c r="Q35" s="29"/>
    </row>
    <row r="36" spans="1:18">
      <c r="A36" s="3"/>
      <c r="B36" s="21"/>
      <c r="C36" s="3"/>
      <c r="D36" s="35"/>
      <c r="E36" s="35"/>
      <c r="F36" s="99"/>
      <c r="G36" s="9"/>
      <c r="H36" s="9"/>
      <c r="I36" s="96"/>
      <c r="J36" s="9"/>
      <c r="L36" s="9"/>
      <c r="Q36" s="29"/>
    </row>
    <row r="37" spans="1:18" ht="15.75">
      <c r="A37" s="4" t="s">
        <v>180</v>
      </c>
      <c r="B37" s="8"/>
      <c r="C37" s="2"/>
      <c r="D37" s="35"/>
      <c r="E37" s="35"/>
      <c r="F37" s="99"/>
      <c r="G37" s="9"/>
      <c r="H37" s="9"/>
      <c r="I37" s="96"/>
      <c r="J37" s="9"/>
      <c r="L37" s="9"/>
      <c r="Q37" s="29"/>
    </row>
    <row r="38" spans="1:18">
      <c r="A38" t="s">
        <v>243</v>
      </c>
      <c r="B38" s="9">
        <f>'ONT DIS $ 2005-06'!B36</f>
        <v>405</v>
      </c>
      <c r="C38" t="s">
        <v>237</v>
      </c>
      <c r="D38" s="35">
        <f>'ONT DIS $ 2008-09'!B37</f>
        <v>548</v>
      </c>
      <c r="E38" s="133" t="s">
        <v>237</v>
      </c>
      <c r="F38" s="99"/>
      <c r="G38" s="9">
        <f>'ONT Disability details 09-10'!B37</f>
        <v>482</v>
      </c>
      <c r="H38" s="9" t="s">
        <v>237</v>
      </c>
      <c r="I38" s="96"/>
      <c r="J38" s="9">
        <f>'ONT Disability details 10-11'!B37</f>
        <v>476</v>
      </c>
      <c r="L38" s="9">
        <f>'Ont Disability details 11-12'!B37</f>
        <v>481</v>
      </c>
      <c r="Q38" s="29"/>
    </row>
    <row r="39" spans="1:18">
      <c r="A39" t="s">
        <v>244</v>
      </c>
      <c r="B39" s="9">
        <f>'ONT DIS $ 2005-06'!B37</f>
        <v>1502</v>
      </c>
      <c r="C39" t="s">
        <v>237</v>
      </c>
      <c r="D39" s="35">
        <f>'ONT DIS $ 2008-09'!B38</f>
        <v>1837</v>
      </c>
      <c r="E39" s="133" t="s">
        <v>237</v>
      </c>
      <c r="F39" s="99"/>
      <c r="G39" s="9">
        <f>'ONT Disability details 09-10'!B38</f>
        <v>1930</v>
      </c>
      <c r="H39" s="9" t="s">
        <v>237</v>
      </c>
      <c r="I39" s="96"/>
      <c r="J39" s="9">
        <f>'ONT Disability details 10-11'!B38</f>
        <v>1983</v>
      </c>
      <c r="L39" s="9">
        <f>'Ont Disability details 11-12'!B38</f>
        <v>2059</v>
      </c>
      <c r="Q39" s="29"/>
    </row>
    <row r="40" spans="1:18">
      <c r="A40" s="61" t="s">
        <v>24</v>
      </c>
      <c r="B40" s="62">
        <f>'ONT DIS $ 2005-06'!B38</f>
        <v>1907</v>
      </c>
      <c r="C40" s="61" t="s">
        <v>237</v>
      </c>
      <c r="D40" s="73">
        <f>SUM(D38:D39)</f>
        <v>2385</v>
      </c>
      <c r="E40" s="132" t="s">
        <v>237</v>
      </c>
      <c r="F40" s="98">
        <f>(D40-B40)/B40</f>
        <v>0.25065547981122183</v>
      </c>
      <c r="G40" s="73">
        <f>SUM(G38:G39)</f>
        <v>2412</v>
      </c>
      <c r="H40" s="132" t="s">
        <v>237</v>
      </c>
      <c r="I40" s="95">
        <f>(G40-B40)/B40</f>
        <v>0.264813843733613</v>
      </c>
      <c r="J40" s="73">
        <f>SUM(J38:J39)</f>
        <v>2459</v>
      </c>
      <c r="K40" s="95">
        <f>(J40-B40)/B40</f>
        <v>0.28945988463555322</v>
      </c>
      <c r="L40" s="73">
        <f>SUM(L38:L39)</f>
        <v>2540</v>
      </c>
      <c r="N40" s="95">
        <f>(L40-B40)/B40</f>
        <v>0.33193497640272679</v>
      </c>
      <c r="Q40" s="29"/>
    </row>
    <row r="41" spans="1:18">
      <c r="B41" s="9"/>
      <c r="D41" s="35"/>
      <c r="E41" s="35"/>
      <c r="F41" s="99"/>
      <c r="G41" s="9"/>
      <c r="H41" s="133"/>
      <c r="I41" s="96"/>
      <c r="J41" s="9"/>
      <c r="L41" s="9"/>
      <c r="Q41" s="29"/>
    </row>
    <row r="42" spans="1:18" ht="15.75">
      <c r="A42" s="64" t="s">
        <v>234</v>
      </c>
      <c r="B42" s="263">
        <f>B16+B21+B25+B30+B35+B40</f>
        <v>9438.5460000000003</v>
      </c>
      <c r="C42" s="264" t="s">
        <v>237</v>
      </c>
      <c r="D42" s="263">
        <f>D16+D21+D25+D30+D35+D40</f>
        <v>11103.556</v>
      </c>
      <c r="E42" s="265" t="s">
        <v>237</v>
      </c>
      <c r="F42" s="266">
        <f>F40-F28</f>
        <v>0.25065547981122183</v>
      </c>
      <c r="G42" s="263">
        <f>G16+G21+G25+G30+G35+G40</f>
        <v>11651.787199999999</v>
      </c>
      <c r="H42" s="264" t="s">
        <v>237</v>
      </c>
      <c r="I42" s="266">
        <f>(G42-B42)/B42</f>
        <v>0.23448963431443767</v>
      </c>
      <c r="J42" s="263">
        <f>J16+J21+J25+J30+J35+J40</f>
        <v>12018.4452</v>
      </c>
      <c r="K42" s="95">
        <f>(J42-B42)/B42</f>
        <v>0.2733365075510571</v>
      </c>
      <c r="L42" s="263">
        <f>L16+L21+L25+L30+L35+L40</f>
        <v>12536.810560000002</v>
      </c>
      <c r="M42" s="39"/>
      <c r="N42" s="95">
        <f>(L42-B42)/B42</f>
        <v>0.32825655137984189</v>
      </c>
      <c r="O42" s="39"/>
      <c r="Q42" s="29"/>
    </row>
    <row r="43" spans="1:18" ht="15.75">
      <c r="B43" s="17"/>
      <c r="C43" s="4"/>
      <c r="F43" s="96"/>
      <c r="G43" s="9"/>
      <c r="H43" s="9"/>
      <c r="I43" s="96"/>
      <c r="L43" s="9"/>
    </row>
    <row r="44" spans="1:18" ht="30">
      <c r="A44" s="93" t="s">
        <v>380</v>
      </c>
      <c r="B44" s="94">
        <f>B42-B28</f>
        <v>7006.0460000000003</v>
      </c>
      <c r="C44" s="94" t="s">
        <v>237</v>
      </c>
      <c r="D44" s="164">
        <f>D42-D28</f>
        <v>8078.5560000000005</v>
      </c>
      <c r="E44" s="94" t="s">
        <v>237</v>
      </c>
      <c r="F44" s="97">
        <f>(D44-B44)/B44</f>
        <v>0.15308349388513867</v>
      </c>
      <c r="G44" s="164">
        <f>G42-G28</f>
        <v>8357.2871999999988</v>
      </c>
      <c r="H44" s="164" t="s">
        <v>237</v>
      </c>
      <c r="I44" s="165">
        <f>(G44-B44)/B44</f>
        <v>0.19286787440447845</v>
      </c>
      <c r="J44" s="164">
        <f>J42-J28</f>
        <v>8482.645199999999</v>
      </c>
      <c r="K44" s="95">
        <f>(J44-B44)/B44</f>
        <v>0.2107607058246547</v>
      </c>
      <c r="L44" s="164">
        <f>L42-L28</f>
        <v>8742.0105600000024</v>
      </c>
      <c r="N44" s="95">
        <f>(L44-B44)/B44</f>
        <v>0.24778092521801914</v>
      </c>
    </row>
    <row r="47" spans="1:18" ht="15.75">
      <c r="A47" s="4" t="s">
        <v>238</v>
      </c>
      <c r="G47" s="2"/>
      <c r="H47" s="2"/>
      <c r="R47" s="2"/>
    </row>
    <row r="48" spans="1:18">
      <c r="A48" s="2" t="s">
        <v>58</v>
      </c>
      <c r="G48" s="2"/>
      <c r="H48" s="2"/>
      <c r="R48" s="2"/>
    </row>
    <row r="49" spans="1:17" ht="13.5" customHeight="1">
      <c r="A49" s="52" t="s">
        <v>281</v>
      </c>
    </row>
    <row r="50" spans="1:17">
      <c r="A50" s="52" t="s">
        <v>282</v>
      </c>
      <c r="D50" s="22"/>
      <c r="E50" s="22"/>
      <c r="F50" s="22"/>
    </row>
    <row r="51" spans="1:17">
      <c r="A51" s="2" t="s">
        <v>104</v>
      </c>
      <c r="D51" s="22"/>
      <c r="E51" s="22"/>
      <c r="F51" s="22"/>
    </row>
    <row r="52" spans="1:17">
      <c r="A52" s="52" t="s">
        <v>283</v>
      </c>
      <c r="D52" s="22"/>
      <c r="E52" s="22"/>
      <c r="F52" s="22"/>
    </row>
    <row r="53" spans="1:17">
      <c r="A53" s="52" t="s">
        <v>408</v>
      </c>
      <c r="D53" s="22"/>
      <c r="E53" s="22"/>
      <c r="F53" s="22"/>
    </row>
    <row r="54" spans="1:17">
      <c r="A54" s="2" t="s">
        <v>181</v>
      </c>
      <c r="D54" s="22"/>
      <c r="E54" s="22"/>
      <c r="F54" s="22"/>
    </row>
    <row r="55" spans="1:17">
      <c r="A55" s="52" t="s">
        <v>408</v>
      </c>
      <c r="D55" s="22"/>
      <c r="E55" s="22"/>
      <c r="F55" s="22"/>
    </row>
    <row r="56" spans="1:17">
      <c r="A56" t="s">
        <v>368</v>
      </c>
      <c r="D56" s="22"/>
      <c r="E56" s="22"/>
      <c r="F56" s="22"/>
    </row>
    <row r="57" spans="1:17">
      <c r="A57" t="s">
        <v>379</v>
      </c>
      <c r="D57" s="22"/>
      <c r="E57" s="22"/>
      <c r="F57" s="22"/>
    </row>
    <row r="58" spans="1:17">
      <c r="D58" s="22"/>
      <c r="E58" s="22"/>
      <c r="F58" s="22"/>
    </row>
    <row r="59" spans="1:17">
      <c r="A59" t="s">
        <v>319</v>
      </c>
      <c r="D59" s="22"/>
      <c r="E59" s="22"/>
      <c r="F59" s="22"/>
    </row>
    <row r="60" spans="1:17">
      <c r="A60" t="s">
        <v>409</v>
      </c>
      <c r="D60" s="22"/>
      <c r="E60" s="22"/>
      <c r="F60" s="22"/>
      <c r="Q60" s="7"/>
    </row>
    <row r="61" spans="1:17">
      <c r="A61" s="3"/>
      <c r="B61" s="3"/>
      <c r="C61" s="3"/>
      <c r="D61" s="22"/>
      <c r="E61" s="22"/>
      <c r="F61" s="22"/>
      <c r="Q61" s="7"/>
    </row>
    <row r="62" spans="1:17">
      <c r="A62" s="39" t="s">
        <v>604</v>
      </c>
      <c r="B62" s="39"/>
      <c r="C62" s="39"/>
      <c r="D62" s="247"/>
      <c r="E62" s="247"/>
      <c r="F62" s="247"/>
      <c r="G62" s="39"/>
      <c r="H62" s="39"/>
      <c r="I62" s="39"/>
      <c r="J62" s="39"/>
      <c r="Q62" s="7"/>
    </row>
    <row r="63" spans="1:17">
      <c r="A63" s="39" t="s">
        <v>658</v>
      </c>
      <c r="B63" s="2"/>
      <c r="C63" s="2"/>
      <c r="D63" s="22"/>
      <c r="E63" s="22"/>
      <c r="F63" s="22"/>
      <c r="Q63" s="7"/>
    </row>
    <row r="64" spans="1:17">
      <c r="A64" s="52" t="s">
        <v>760</v>
      </c>
      <c r="D64" s="22"/>
      <c r="E64" s="22"/>
      <c r="F64" s="22"/>
      <c r="Q64" s="7"/>
    </row>
    <row r="65" spans="1:17">
      <c r="A65" s="274" t="s">
        <v>773</v>
      </c>
      <c r="D65" s="22"/>
      <c r="E65" s="22"/>
      <c r="F65" s="22"/>
      <c r="Q65" s="7"/>
    </row>
    <row r="66" spans="1:17">
      <c r="A66" s="274" t="s">
        <v>806</v>
      </c>
      <c r="D66" s="22"/>
      <c r="E66" s="22"/>
      <c r="F66" s="22"/>
      <c r="Q66" s="7"/>
    </row>
    <row r="67" spans="1:17">
      <c r="A67" s="3"/>
      <c r="B67" s="3"/>
      <c r="C67" s="3"/>
      <c r="D67" s="22"/>
      <c r="E67" s="22"/>
      <c r="F67" s="22"/>
      <c r="Q67" s="7"/>
    </row>
    <row r="68" spans="1:17">
      <c r="D68" s="22"/>
      <c r="E68" s="22"/>
      <c r="F68" s="22"/>
      <c r="Q68" s="7"/>
    </row>
    <row r="69" spans="1:17">
      <c r="A69" s="2"/>
      <c r="B69" s="2"/>
      <c r="C69" s="2"/>
      <c r="D69" s="22"/>
      <c r="E69" s="22"/>
      <c r="F69" s="22"/>
      <c r="Q69" s="7"/>
    </row>
    <row r="70" spans="1:17">
      <c r="D70" s="22"/>
      <c r="E70" s="22"/>
      <c r="F70" s="22"/>
      <c r="Q70" s="7"/>
    </row>
    <row r="71" spans="1:17">
      <c r="A71" s="3"/>
      <c r="B71" s="3"/>
      <c r="C71" s="3"/>
      <c r="D71" s="22"/>
      <c r="E71" s="22"/>
      <c r="F71" s="22"/>
      <c r="Q71" s="7"/>
    </row>
    <row r="72" spans="1:17">
      <c r="D72" s="22"/>
      <c r="E72" s="22"/>
      <c r="F72" s="22"/>
      <c r="Q72" s="7"/>
    </row>
    <row r="73" spans="1:17">
      <c r="A73" s="2"/>
      <c r="B73" s="2"/>
      <c r="C73" s="2"/>
      <c r="D73" s="22"/>
      <c r="E73" s="22"/>
      <c r="F73" s="22"/>
      <c r="O73" s="9"/>
      <c r="Q73" s="7"/>
    </row>
    <row r="74" spans="1:17">
      <c r="D74" s="22"/>
      <c r="E74" s="22"/>
      <c r="F74" s="22"/>
      <c r="Q74" s="7"/>
    </row>
    <row r="75" spans="1:17">
      <c r="D75" s="22"/>
      <c r="E75" s="22"/>
      <c r="F75" s="22"/>
      <c r="Q75" s="7"/>
    </row>
    <row r="76" spans="1:17">
      <c r="A76" s="3"/>
      <c r="B76" s="3"/>
      <c r="C76" s="3"/>
      <c r="D76" s="22"/>
      <c r="E76" s="22"/>
      <c r="F76" s="22"/>
      <c r="Q76" s="7"/>
    </row>
    <row r="77" spans="1:17">
      <c r="D77" s="22"/>
      <c r="E77" s="22"/>
      <c r="F77" s="22"/>
      <c r="Q77" s="7"/>
    </row>
    <row r="78" spans="1:17">
      <c r="A78" s="2"/>
      <c r="B78" s="2"/>
      <c r="C78" s="2"/>
      <c r="D78" s="22"/>
      <c r="E78" s="22"/>
      <c r="F78" s="22"/>
      <c r="Q78" s="7"/>
    </row>
    <row r="79" spans="1:17">
      <c r="D79" s="22"/>
      <c r="E79" s="22"/>
      <c r="F79" s="22"/>
      <c r="Q79" s="7"/>
    </row>
    <row r="80" spans="1:17">
      <c r="D80" s="22"/>
      <c r="E80" s="22"/>
      <c r="F80" s="22"/>
      <c r="Q80" s="7"/>
    </row>
    <row r="81" spans="1:17">
      <c r="A81" s="3"/>
      <c r="B81" s="3"/>
      <c r="C81" s="3"/>
      <c r="D81" s="22"/>
      <c r="E81" s="22"/>
      <c r="F81" s="22"/>
      <c r="Q81" s="7"/>
    </row>
    <row r="82" spans="1:17">
      <c r="D82" s="22"/>
      <c r="E82" s="22"/>
      <c r="F82" s="22"/>
      <c r="Q82" s="7"/>
    </row>
    <row r="83" spans="1:17">
      <c r="D83" s="22"/>
      <c r="E83" s="22"/>
      <c r="F83" s="22"/>
      <c r="Q83" s="7"/>
    </row>
    <row r="84" spans="1:17">
      <c r="D84" s="22"/>
      <c r="E84" s="22"/>
      <c r="F84" s="22"/>
      <c r="Q84" s="7"/>
    </row>
    <row r="85" spans="1:17">
      <c r="A85" s="3"/>
      <c r="B85" s="3"/>
      <c r="C85" s="3"/>
      <c r="D85" s="22"/>
      <c r="E85" s="22"/>
      <c r="F85" s="22"/>
      <c r="Q85" s="7"/>
    </row>
    <row r="86" spans="1:17">
      <c r="D86" s="22"/>
      <c r="E86" s="22"/>
      <c r="F86" s="22"/>
    </row>
    <row r="87" spans="1:17" ht="15.75">
      <c r="A87" s="4"/>
      <c r="B87" s="4"/>
      <c r="C87" s="4"/>
    </row>
    <row r="88" spans="1:17" ht="15.75">
      <c r="A88" s="4"/>
      <c r="B88" s="4"/>
      <c r="C88" s="4"/>
    </row>
    <row r="89" spans="1:17" ht="15.75">
      <c r="A89" s="4"/>
      <c r="B89" s="4"/>
      <c r="C89" s="4"/>
    </row>
    <row r="100" spans="7:8">
      <c r="G100" s="7"/>
      <c r="H100" s="7"/>
    </row>
    <row r="101" spans="7:8">
      <c r="G101" s="7"/>
      <c r="H101" s="7"/>
    </row>
    <row r="102" spans="7:8">
      <c r="G102" s="7"/>
      <c r="H102" s="7"/>
    </row>
    <row r="103" spans="7:8">
      <c r="G103" s="7"/>
      <c r="H103" s="7"/>
    </row>
  </sheetData>
  <pageMargins left="0.70866141732283472" right="0.70866141732283472" top="0.74803149606299213" bottom="0.74803149606299213" header="0.31496062992125984" footer="0.31496062992125984"/>
  <pageSetup scale="60" orientation="landscape" verticalDpi="0" r:id="rId1"/>
</worksheet>
</file>

<file path=xl/worksheets/sheet16.xml><?xml version="1.0" encoding="utf-8"?>
<worksheet xmlns="http://schemas.openxmlformats.org/spreadsheetml/2006/main" xmlns:r="http://schemas.openxmlformats.org/officeDocument/2006/relationships">
  <sheetPr>
    <pageSetUpPr fitToPage="1"/>
  </sheetPr>
  <dimension ref="A1:U98"/>
  <sheetViews>
    <sheetView workbookViewId="0">
      <selection activeCell="B27" sqref="B27"/>
    </sheetView>
  </sheetViews>
  <sheetFormatPr defaultRowHeight="12.75"/>
  <cols>
    <col min="1" max="1" width="35.42578125" customWidth="1"/>
    <col min="2" max="2" width="16.7109375" customWidth="1"/>
    <col min="3" max="3" width="2.7109375" customWidth="1"/>
    <col min="11" max="11" width="9.28515625" bestFit="1" customWidth="1"/>
  </cols>
  <sheetData>
    <row r="1" spans="1:12">
      <c r="B1" s="241" t="s">
        <v>172</v>
      </c>
      <c r="C1" s="241"/>
    </row>
    <row r="2" spans="1:12">
      <c r="B2" s="241" t="s">
        <v>689</v>
      </c>
      <c r="C2" s="241"/>
    </row>
    <row r="3" spans="1:12">
      <c r="B3" s="241" t="s">
        <v>16</v>
      </c>
      <c r="C3" s="241"/>
      <c r="D3" s="2" t="s">
        <v>59</v>
      </c>
      <c r="L3" s="2" t="s">
        <v>92</v>
      </c>
    </row>
    <row r="4" spans="1:12">
      <c r="A4" s="2" t="s">
        <v>11</v>
      </c>
    </row>
    <row r="6" spans="1:12">
      <c r="A6" t="s">
        <v>0</v>
      </c>
      <c r="B6" s="140">
        <f>'CAN Disability details 11-12'!B6*0.386</f>
        <v>260.55</v>
      </c>
      <c r="C6" s="35" t="s">
        <v>437</v>
      </c>
      <c r="D6" t="s">
        <v>811</v>
      </c>
      <c r="L6" s="145" t="s">
        <v>810</v>
      </c>
    </row>
    <row r="7" spans="1:12">
      <c r="A7" t="s">
        <v>1</v>
      </c>
      <c r="B7" s="140">
        <f>'CAN Disability details 11-12'!B7*0.386</f>
        <v>438.11</v>
      </c>
      <c r="C7" s="35" t="s">
        <v>437</v>
      </c>
      <c r="D7" s="52" t="s">
        <v>757</v>
      </c>
      <c r="H7" t="s">
        <v>93</v>
      </c>
      <c r="L7" s="39" t="s">
        <v>752</v>
      </c>
    </row>
    <row r="8" spans="1:12">
      <c r="A8" t="s">
        <v>14</v>
      </c>
      <c r="B8" s="267">
        <f>'CAN Disability details 11-12'!B8*0.386</f>
        <v>40.53</v>
      </c>
      <c r="C8" s="35" t="s">
        <v>437</v>
      </c>
      <c r="D8" s="52" t="s">
        <v>759</v>
      </c>
      <c r="L8" s="39"/>
    </row>
    <row r="9" spans="1:12">
      <c r="A9" t="s">
        <v>2</v>
      </c>
      <c r="B9" s="35">
        <f>'CAN Disability details 11-12'!B9*0.386</f>
        <v>1.9300000000000002</v>
      </c>
      <c r="C9" s="35" t="s">
        <v>437</v>
      </c>
      <c r="L9" s="39"/>
    </row>
    <row r="10" spans="1:12">
      <c r="A10" s="52" t="s">
        <v>273</v>
      </c>
      <c r="B10" s="35">
        <f>'CAN Disability details 11-12'!B10*0.386</f>
        <v>0</v>
      </c>
      <c r="C10" s="35" t="s">
        <v>437</v>
      </c>
      <c r="L10" s="39"/>
    </row>
    <row r="11" spans="1:12">
      <c r="A11" t="s">
        <v>3</v>
      </c>
      <c r="B11" s="140">
        <f>'CAN Disability details 11-12'!B11*0.386</f>
        <v>52.11</v>
      </c>
      <c r="C11" s="35" t="s">
        <v>437</v>
      </c>
      <c r="L11" s="39"/>
    </row>
    <row r="12" spans="1:12">
      <c r="A12" t="s">
        <v>15</v>
      </c>
      <c r="B12" s="140">
        <f>'CAN Disability details 11-12'!B12*0.386</f>
        <v>97.835560000000001</v>
      </c>
      <c r="C12" s="35" t="s">
        <v>437</v>
      </c>
      <c r="D12" s="248" t="s">
        <v>710</v>
      </c>
      <c r="E12" s="249"/>
      <c r="F12" s="249"/>
      <c r="G12" s="249"/>
      <c r="H12" s="30"/>
      <c r="I12" s="30"/>
      <c r="J12" s="30"/>
      <c r="K12" s="171"/>
      <c r="L12" s="145"/>
    </row>
    <row r="13" spans="1:12">
      <c r="A13" s="3" t="s">
        <v>24</v>
      </c>
      <c r="B13" s="141">
        <f>SUM(B6:B12)</f>
        <v>891.06556</v>
      </c>
      <c r="C13" s="35" t="s">
        <v>437</v>
      </c>
      <c r="D13" s="6"/>
      <c r="K13" s="111"/>
      <c r="L13" s="39"/>
    </row>
    <row r="14" spans="1:12">
      <c r="B14" s="35"/>
      <c r="C14" s="35"/>
      <c r="K14" s="29"/>
      <c r="L14" s="39"/>
    </row>
    <row r="15" spans="1:12">
      <c r="A15" s="2" t="s">
        <v>4</v>
      </c>
      <c r="B15" s="35"/>
      <c r="C15" s="35"/>
      <c r="K15" s="29"/>
      <c r="L15" s="39"/>
    </row>
    <row r="16" spans="1:12">
      <c r="A16" t="s">
        <v>5</v>
      </c>
      <c r="B16" s="35">
        <v>1937.4</v>
      </c>
      <c r="C16" s="35"/>
      <c r="D16" s="52" t="s">
        <v>747</v>
      </c>
      <c r="E16" s="30"/>
      <c r="F16" s="30"/>
      <c r="G16" s="30"/>
      <c r="H16" s="30"/>
      <c r="I16" s="30"/>
      <c r="J16" s="30"/>
      <c r="K16" s="172"/>
      <c r="L16" s="39" t="s">
        <v>693</v>
      </c>
    </row>
    <row r="17" spans="1:21" ht="12.75" customHeight="1">
      <c r="A17" t="s">
        <v>69</v>
      </c>
      <c r="B17" s="35"/>
      <c r="C17" s="35"/>
      <c r="D17" s="321" t="s">
        <v>748</v>
      </c>
      <c r="E17" s="321"/>
      <c r="F17" s="321"/>
      <c r="G17" s="321"/>
      <c r="H17" s="321"/>
      <c r="I17" s="321"/>
      <c r="J17" s="321"/>
      <c r="K17" s="172"/>
      <c r="L17" s="39" t="s">
        <v>693</v>
      </c>
    </row>
    <row r="18" spans="1:21">
      <c r="A18" t="s">
        <v>6</v>
      </c>
      <c r="B18" s="156">
        <v>327.3</v>
      </c>
      <c r="C18" s="156"/>
      <c r="D18" s="120" t="s">
        <v>694</v>
      </c>
      <c r="E18" s="103"/>
      <c r="F18" s="103"/>
      <c r="G18" s="103"/>
      <c r="H18" s="103"/>
      <c r="I18" s="103"/>
      <c r="J18" s="103"/>
      <c r="K18" s="111"/>
      <c r="L18" s="145" t="s">
        <v>519</v>
      </c>
      <c r="N18" s="103"/>
      <c r="O18" s="103"/>
      <c r="P18" s="103"/>
      <c r="Q18" s="103"/>
      <c r="R18" s="103"/>
      <c r="S18" s="103"/>
    </row>
    <row r="19" spans="1:21">
      <c r="A19" s="3" t="s">
        <v>24</v>
      </c>
      <c r="B19" s="157">
        <f>SUM(B16:B18)</f>
        <v>2264.7000000000003</v>
      </c>
      <c r="C19" s="36"/>
      <c r="K19" s="29">
        <f>B19/B41</f>
        <v>0.18064403136358789</v>
      </c>
      <c r="L19" s="39"/>
    </row>
    <row r="20" spans="1:21">
      <c r="B20" s="35"/>
      <c r="C20" s="35"/>
      <c r="K20" s="29"/>
    </row>
    <row r="21" spans="1:21">
      <c r="A21" s="2" t="s">
        <v>99</v>
      </c>
      <c r="B21" s="35"/>
      <c r="C21" s="35"/>
      <c r="K21" s="29"/>
    </row>
    <row r="22" spans="1:21">
      <c r="A22" t="s">
        <v>100</v>
      </c>
      <c r="B22" s="254">
        <f>570.3+111.4</f>
        <v>681.69999999999993</v>
      </c>
      <c r="C22" s="35"/>
      <c r="D22" t="s">
        <v>779</v>
      </c>
      <c r="K22" s="29"/>
      <c r="L22" s="52" t="s">
        <v>713</v>
      </c>
    </row>
    <row r="23" spans="1:21">
      <c r="A23" s="3" t="s">
        <v>24</v>
      </c>
      <c r="B23" s="36">
        <f>SUM(B22)</f>
        <v>681.69999999999993</v>
      </c>
      <c r="C23" s="36"/>
      <c r="K23" s="29">
        <f>B23/B41</f>
        <v>5.4375871497574883E-2</v>
      </c>
    </row>
    <row r="24" spans="1:21">
      <c r="B24" s="35"/>
      <c r="C24" s="35"/>
      <c r="K24" s="29"/>
    </row>
    <row r="25" spans="1:21">
      <c r="A25" s="2" t="s">
        <v>18</v>
      </c>
      <c r="B25" s="35"/>
      <c r="C25" s="35"/>
      <c r="I25" s="9"/>
      <c r="K25" s="29"/>
    </row>
    <row r="26" spans="1:21">
      <c r="A26" t="s">
        <v>17</v>
      </c>
      <c r="B26" s="156">
        <f>'SA $ by prov 11-12'!B15</f>
        <v>3794.8</v>
      </c>
      <c r="C26" s="35"/>
      <c r="D26" s="52" t="s">
        <v>714</v>
      </c>
      <c r="K26" s="29"/>
      <c r="L26" s="52" t="s">
        <v>715</v>
      </c>
    </row>
    <row r="27" spans="1:21">
      <c r="A27" t="s">
        <v>12</v>
      </c>
      <c r="B27" s="156">
        <f>125.9*0.55</f>
        <v>69.245000000000005</v>
      </c>
      <c r="C27" s="35" t="s">
        <v>437</v>
      </c>
      <c r="D27" s="106" t="s">
        <v>807</v>
      </c>
      <c r="K27" s="29"/>
      <c r="L27" t="s">
        <v>786</v>
      </c>
    </row>
    <row r="28" spans="1:21">
      <c r="A28" s="3" t="s">
        <v>24</v>
      </c>
      <c r="B28" s="157">
        <f>SUM(B26:B27)</f>
        <v>3864.0450000000001</v>
      </c>
      <c r="C28" s="36"/>
      <c r="K28" s="29">
        <f>B28/B41</f>
        <v>0.30821595185689715</v>
      </c>
    </row>
    <row r="29" spans="1:21">
      <c r="B29" s="35"/>
      <c r="C29" s="35"/>
      <c r="K29" s="29"/>
    </row>
    <row r="30" spans="1:21">
      <c r="A30" s="2" t="s">
        <v>13</v>
      </c>
      <c r="B30" s="35"/>
      <c r="C30" s="35"/>
      <c r="K30" s="29"/>
    </row>
    <row r="31" spans="1:21">
      <c r="A31" t="s">
        <v>7</v>
      </c>
      <c r="B31" s="35">
        <v>2295.3000000000002</v>
      </c>
      <c r="C31" s="35"/>
      <c r="D31" t="s">
        <v>756</v>
      </c>
      <c r="L31" s="145" t="s">
        <v>205</v>
      </c>
    </row>
    <row r="32" spans="1:21">
      <c r="B32" s="35"/>
      <c r="C32" s="35"/>
      <c r="D32" t="s">
        <v>167</v>
      </c>
      <c r="L32" s="39" t="s">
        <v>206</v>
      </c>
      <c r="U32">
        <v>0.09</v>
      </c>
    </row>
    <row r="33" spans="1:12">
      <c r="A33" t="s">
        <v>8</v>
      </c>
      <c r="B33" s="35"/>
      <c r="C33" s="35"/>
      <c r="D33" s="6"/>
      <c r="K33" s="29"/>
    </row>
    <row r="34" spans="1:12">
      <c r="A34" s="3" t="s">
        <v>57</v>
      </c>
      <c r="B34" s="36">
        <f>SUM(B31:B33)</f>
        <v>2295.3000000000002</v>
      </c>
      <c r="C34" s="36"/>
      <c r="K34" s="29">
        <f>B34/B41</f>
        <v>0.18308484355051144</v>
      </c>
    </row>
    <row r="35" spans="1:12">
      <c r="A35" s="3"/>
      <c r="B35" s="35"/>
      <c r="C35" s="35"/>
      <c r="K35" s="29"/>
    </row>
    <row r="36" spans="1:12">
      <c r="A36" s="2" t="s">
        <v>64</v>
      </c>
      <c r="B36" s="35"/>
      <c r="C36" s="35"/>
      <c r="K36" s="29"/>
    </row>
    <row r="37" spans="1:12">
      <c r="A37" t="s">
        <v>9</v>
      </c>
      <c r="B37" s="35">
        <v>481</v>
      </c>
      <c r="C37" s="35"/>
      <c r="D37" s="52" t="s">
        <v>742</v>
      </c>
      <c r="K37" s="29"/>
      <c r="L37" t="s">
        <v>75</v>
      </c>
    </row>
    <row r="38" spans="1:12">
      <c r="A38" t="s">
        <v>10</v>
      </c>
      <c r="B38" s="35">
        <v>2059</v>
      </c>
      <c r="C38" s="35"/>
      <c r="D38" s="52" t="s">
        <v>742</v>
      </c>
      <c r="K38" s="29"/>
      <c r="L38" t="s">
        <v>692</v>
      </c>
    </row>
    <row r="39" spans="1:12">
      <c r="A39" s="3" t="s">
        <v>24</v>
      </c>
      <c r="B39" s="36">
        <f>SUM(B37:B38)</f>
        <v>2540</v>
      </c>
      <c r="C39" s="36"/>
      <c r="K39" s="29">
        <f>B39/B41</f>
        <v>0.20260336453548514</v>
      </c>
    </row>
    <row r="40" spans="1:12">
      <c r="B40" s="35"/>
      <c r="C40" s="35"/>
      <c r="K40" s="29"/>
    </row>
    <row r="41" spans="1:12" ht="15.75">
      <c r="A41" s="4" t="s">
        <v>23</v>
      </c>
      <c r="B41" s="159">
        <f>B13+B19+B23+B28+B34+B39</f>
        <v>12536.810560000002</v>
      </c>
      <c r="C41" s="37"/>
      <c r="K41" s="29">
        <f>SUM(K13:K39)</f>
        <v>0.92892406280405648</v>
      </c>
    </row>
    <row r="42" spans="1:12" ht="15.75">
      <c r="A42" s="4"/>
    </row>
    <row r="44" spans="1:12">
      <c r="A44" s="52" t="s">
        <v>760</v>
      </c>
    </row>
    <row r="45" spans="1:12">
      <c r="A45" s="136" t="s">
        <v>817</v>
      </c>
      <c r="B45" s="136"/>
    </row>
    <row r="46" spans="1:12">
      <c r="B46" s="103"/>
      <c r="C46" s="103"/>
      <c r="D46" s="107"/>
      <c r="L46" s="2"/>
    </row>
    <row r="47" spans="1:12">
      <c r="A47" s="52"/>
    </row>
    <row r="48" spans="1:12">
      <c r="A48" s="52"/>
    </row>
    <row r="49" spans="1:11">
      <c r="B49" s="242"/>
      <c r="C49" s="242"/>
    </row>
    <row r="50" spans="1:11">
      <c r="B50" s="242"/>
      <c r="C50" s="242"/>
    </row>
    <row r="51" spans="1:11">
      <c r="B51" s="242"/>
      <c r="C51" s="242"/>
    </row>
    <row r="52" spans="1:11">
      <c r="B52" s="242"/>
      <c r="C52" s="242"/>
    </row>
    <row r="53" spans="1:11">
      <c r="B53" s="242"/>
      <c r="C53" s="242"/>
    </row>
    <row r="54" spans="1:11">
      <c r="B54" s="242"/>
      <c r="C54" s="242"/>
    </row>
    <row r="55" spans="1:11">
      <c r="B55" s="242"/>
      <c r="C55" s="242"/>
      <c r="K55" s="7"/>
    </row>
    <row r="56" spans="1:11">
      <c r="A56" s="3"/>
      <c r="B56" s="242"/>
      <c r="C56" s="242"/>
      <c r="K56" s="7"/>
    </row>
    <row r="57" spans="1:11">
      <c r="B57" s="242"/>
      <c r="C57" s="242"/>
      <c r="K57" s="7"/>
    </row>
    <row r="58" spans="1:11">
      <c r="A58" s="2"/>
      <c r="B58" s="242"/>
      <c r="C58" s="242"/>
      <c r="K58" s="7"/>
    </row>
    <row r="59" spans="1:11">
      <c r="B59" s="242"/>
      <c r="C59" s="242"/>
      <c r="K59" s="7"/>
    </row>
    <row r="60" spans="1:11">
      <c r="B60" s="242"/>
      <c r="C60" s="242"/>
      <c r="K60" s="7"/>
    </row>
    <row r="61" spans="1:11">
      <c r="B61" s="242"/>
      <c r="C61" s="242"/>
      <c r="K61" s="7"/>
    </row>
    <row r="62" spans="1:11">
      <c r="A62" s="3"/>
      <c r="B62" s="242"/>
      <c r="C62" s="242"/>
      <c r="K62" s="7"/>
    </row>
    <row r="63" spans="1:11">
      <c r="B63" s="242"/>
      <c r="C63" s="242"/>
      <c r="K63" s="7"/>
    </row>
    <row r="64" spans="1:11">
      <c r="A64" s="2"/>
      <c r="B64" s="242"/>
      <c r="C64" s="242"/>
      <c r="K64" s="7"/>
    </row>
    <row r="65" spans="1:11">
      <c r="B65" s="242"/>
      <c r="C65" s="242"/>
      <c r="K65" s="7"/>
    </row>
    <row r="66" spans="1:11">
      <c r="A66" s="3"/>
      <c r="B66" s="242"/>
      <c r="C66" s="242"/>
      <c r="K66" s="7"/>
    </row>
    <row r="67" spans="1:11">
      <c r="B67" s="242"/>
      <c r="C67" s="242"/>
      <c r="K67" s="7"/>
    </row>
    <row r="68" spans="1:11">
      <c r="A68" s="2"/>
      <c r="B68" s="242"/>
      <c r="C68" s="242"/>
      <c r="I68" s="9"/>
      <c r="K68" s="7"/>
    </row>
    <row r="69" spans="1:11">
      <c r="B69" s="242"/>
      <c r="C69" s="242"/>
      <c r="K69" s="7"/>
    </row>
    <row r="70" spans="1:11">
      <c r="B70" s="242"/>
      <c r="C70" s="242"/>
      <c r="K70" s="7"/>
    </row>
    <row r="71" spans="1:11">
      <c r="A71" s="3"/>
      <c r="B71" s="242"/>
      <c r="C71" s="242"/>
      <c r="K71" s="7"/>
    </row>
    <row r="72" spans="1:11">
      <c r="B72" s="242"/>
      <c r="C72" s="242"/>
      <c r="K72" s="7"/>
    </row>
    <row r="73" spans="1:11">
      <c r="A73" s="2"/>
      <c r="B73" s="242"/>
      <c r="C73" s="242"/>
      <c r="K73" s="7"/>
    </row>
    <row r="74" spans="1:11">
      <c r="B74" s="242"/>
      <c r="C74" s="242"/>
      <c r="K74" s="7"/>
    </row>
    <row r="75" spans="1:11">
      <c r="B75" s="242"/>
      <c r="C75" s="242"/>
      <c r="K75" s="7"/>
    </row>
    <row r="76" spans="1:11">
      <c r="A76" s="3"/>
      <c r="B76" s="242"/>
      <c r="C76" s="242"/>
      <c r="K76" s="7"/>
    </row>
    <row r="77" spans="1:11">
      <c r="B77" s="242"/>
      <c r="C77" s="242"/>
      <c r="K77" s="7"/>
    </row>
    <row r="78" spans="1:11">
      <c r="B78" s="242"/>
      <c r="C78" s="242"/>
      <c r="K78" s="7"/>
    </row>
    <row r="79" spans="1:11">
      <c r="B79" s="242"/>
      <c r="C79" s="242"/>
      <c r="K79" s="7"/>
    </row>
    <row r="80" spans="1:11">
      <c r="A80" s="3"/>
      <c r="B80" s="242"/>
      <c r="C80" s="242"/>
      <c r="K80" s="7"/>
    </row>
    <row r="81" spans="1:4">
      <c r="B81" s="242"/>
      <c r="C81" s="242"/>
    </row>
    <row r="82" spans="1:4" ht="15.75">
      <c r="A82" s="4"/>
    </row>
    <row r="83" spans="1:4" ht="15.75">
      <c r="A83" s="4"/>
    </row>
    <row r="84" spans="1:4" ht="15.75">
      <c r="A84" s="4"/>
    </row>
    <row r="95" spans="1:4">
      <c r="D95" s="7"/>
    </row>
    <row r="96" spans="1:4">
      <c r="D96" s="7"/>
    </row>
    <row r="97" spans="4:4">
      <c r="D97" s="7"/>
    </row>
    <row r="98" spans="4:4">
      <c r="D98" s="7"/>
    </row>
  </sheetData>
  <mergeCells count="1">
    <mergeCell ref="D17:J17"/>
  </mergeCells>
  <hyperlinks>
    <hyperlink ref="L18" r:id="rId1"/>
    <hyperlink ref="L31" r:id="rId2"/>
  </hyperlinks>
  <pageMargins left="0.70866141732283472" right="0.70866141732283472" top="0.74803149606299213" bottom="0.74803149606299213" header="0.31496062992125984" footer="0.31496062992125984"/>
  <pageSetup scale="56" orientation="landscape" verticalDpi="0" r:id="rId3"/>
</worksheet>
</file>

<file path=xl/worksheets/sheet17.xml><?xml version="1.0" encoding="utf-8"?>
<worksheet xmlns="http://schemas.openxmlformats.org/spreadsheetml/2006/main" xmlns:r="http://schemas.openxmlformats.org/officeDocument/2006/relationships">
  <sheetPr>
    <pageSetUpPr fitToPage="1"/>
  </sheetPr>
  <dimension ref="A1:S98"/>
  <sheetViews>
    <sheetView topLeftCell="A24" workbookViewId="0">
      <selection activeCell="P52" sqref="P52"/>
    </sheetView>
  </sheetViews>
  <sheetFormatPr defaultRowHeight="12.75"/>
  <cols>
    <col min="1" max="1" width="35.42578125" customWidth="1"/>
    <col min="2" max="2" width="16.7109375" customWidth="1"/>
    <col min="3" max="3" width="2.7109375" customWidth="1"/>
    <col min="11" max="11" width="9.28515625" bestFit="1" customWidth="1"/>
  </cols>
  <sheetData>
    <row r="1" spans="1:12">
      <c r="B1" s="1" t="s">
        <v>172</v>
      </c>
      <c r="C1" s="1"/>
    </row>
    <row r="2" spans="1:12">
      <c r="B2" s="1" t="s">
        <v>514</v>
      </c>
      <c r="C2" s="1"/>
    </row>
    <row r="3" spans="1:12">
      <c r="B3" s="1" t="s">
        <v>16</v>
      </c>
      <c r="C3" s="1"/>
      <c r="D3" s="2" t="s">
        <v>59</v>
      </c>
      <c r="L3" s="2" t="s">
        <v>92</v>
      </c>
    </row>
    <row r="4" spans="1:12">
      <c r="A4" s="2" t="s">
        <v>11</v>
      </c>
    </row>
    <row r="6" spans="1:12">
      <c r="A6" t="s">
        <v>0</v>
      </c>
      <c r="B6" s="140">
        <f>'CAN Disability details 10-11'!B6*0.388</f>
        <v>252.20000000000002</v>
      </c>
      <c r="C6" s="35" t="s">
        <v>437</v>
      </c>
      <c r="D6" t="s">
        <v>811</v>
      </c>
      <c r="L6" s="145" t="s">
        <v>810</v>
      </c>
    </row>
    <row r="7" spans="1:12">
      <c r="A7" t="s">
        <v>1</v>
      </c>
      <c r="B7" s="140">
        <f>'CAN Disability details 10-11'!B7*0.388</f>
        <v>419.04</v>
      </c>
      <c r="C7" s="35" t="s">
        <v>437</v>
      </c>
      <c r="D7" s="52" t="s">
        <v>768</v>
      </c>
      <c r="K7" s="29"/>
    </row>
    <row r="8" spans="1:12">
      <c r="A8" t="s">
        <v>14</v>
      </c>
      <c r="B8" s="35">
        <f>'CAN Disability details 10-11'!B8*0.388</f>
        <v>38.800000000000004</v>
      </c>
      <c r="C8" s="35" t="s">
        <v>437</v>
      </c>
      <c r="D8" s="6" t="s">
        <v>477</v>
      </c>
      <c r="K8" s="29"/>
    </row>
    <row r="9" spans="1:12">
      <c r="A9" t="s">
        <v>2</v>
      </c>
      <c r="B9" s="35">
        <f>'CAN Disability details 10-11'!B9*0.388</f>
        <v>1.94</v>
      </c>
      <c r="C9" s="35" t="s">
        <v>437</v>
      </c>
      <c r="K9" s="29"/>
    </row>
    <row r="10" spans="1:12">
      <c r="A10" s="52" t="s">
        <v>273</v>
      </c>
      <c r="B10" s="35">
        <f>'CAN Disability details 10-11'!B10*0.388</f>
        <v>0</v>
      </c>
      <c r="C10" s="35" t="s">
        <v>437</v>
      </c>
      <c r="K10" s="29"/>
    </row>
    <row r="11" spans="1:12">
      <c r="A11" t="s">
        <v>3</v>
      </c>
      <c r="B11" s="35">
        <f>'CAN Disability details 10-11'!B11*0.388</f>
        <v>52.38</v>
      </c>
      <c r="C11" s="35" t="s">
        <v>437</v>
      </c>
      <c r="K11" s="29"/>
    </row>
    <row r="12" spans="1:12">
      <c r="A12" t="s">
        <v>15</v>
      </c>
      <c r="B12" s="35">
        <f>'CAN Disability details 10-11'!B12*0.388</f>
        <v>85.515200000000007</v>
      </c>
      <c r="C12" s="35" t="s">
        <v>437</v>
      </c>
      <c r="D12" t="s">
        <v>367</v>
      </c>
      <c r="K12" s="29"/>
      <c r="L12" s="38" t="s">
        <v>579</v>
      </c>
    </row>
    <row r="13" spans="1:12">
      <c r="A13" s="3" t="s">
        <v>24</v>
      </c>
      <c r="B13" s="141">
        <f>SUM(B6:B12)</f>
        <v>849.87520000000006</v>
      </c>
      <c r="C13" s="35" t="s">
        <v>437</v>
      </c>
      <c r="D13" s="6"/>
      <c r="K13" s="29">
        <f>B13/B41</f>
        <v>7.0714238477369767E-2</v>
      </c>
    </row>
    <row r="14" spans="1:12">
      <c r="B14" s="35"/>
      <c r="C14" s="35"/>
      <c r="K14" s="29"/>
    </row>
    <row r="15" spans="1:12">
      <c r="A15" s="2" t="s">
        <v>4</v>
      </c>
      <c r="B15" s="35"/>
      <c r="C15" s="35"/>
      <c r="K15" s="29"/>
    </row>
    <row r="16" spans="1:12">
      <c r="A16" t="s">
        <v>5</v>
      </c>
      <c r="B16" s="35">
        <v>1827.9</v>
      </c>
      <c r="C16" s="35"/>
      <c r="D16" t="s">
        <v>542</v>
      </c>
      <c r="K16" s="29"/>
      <c r="L16" t="s">
        <v>366</v>
      </c>
    </row>
    <row r="17" spans="1:19">
      <c r="A17" t="s">
        <v>69</v>
      </c>
      <c r="B17" s="35"/>
      <c r="C17" s="35"/>
      <c r="K17" s="29"/>
    </row>
    <row r="18" spans="1:19">
      <c r="A18" t="s">
        <v>6</v>
      </c>
      <c r="B18" s="156">
        <v>308.5</v>
      </c>
      <c r="C18" s="156"/>
      <c r="D18" s="103" t="s">
        <v>543</v>
      </c>
      <c r="E18" s="103"/>
      <c r="F18" s="103"/>
      <c r="G18" s="103"/>
      <c r="H18" s="103"/>
      <c r="I18" s="103"/>
      <c r="J18" s="103"/>
      <c r="K18" s="111"/>
      <c r="L18" s="110" t="s">
        <v>519</v>
      </c>
      <c r="M18" s="103"/>
      <c r="N18" s="103"/>
      <c r="O18" s="103"/>
      <c r="P18" s="103"/>
      <c r="Q18" s="103"/>
      <c r="R18" s="103"/>
      <c r="S18" s="103"/>
    </row>
    <row r="19" spans="1:19">
      <c r="A19" s="3" t="s">
        <v>24</v>
      </c>
      <c r="B19" s="157">
        <f>SUM(B16:B18)</f>
        <v>2136.4</v>
      </c>
      <c r="C19" s="36"/>
      <c r="K19" s="29">
        <f>B19/B41</f>
        <v>0.17776009828625752</v>
      </c>
    </row>
    <row r="20" spans="1:19">
      <c r="B20" s="35"/>
      <c r="C20" s="35"/>
      <c r="K20" s="29"/>
    </row>
    <row r="21" spans="1:19">
      <c r="A21" s="2" t="s">
        <v>99</v>
      </c>
      <c r="B21" s="35"/>
      <c r="C21" s="35"/>
      <c r="K21" s="29"/>
    </row>
    <row r="22" spans="1:19">
      <c r="A22" t="s">
        <v>100</v>
      </c>
      <c r="B22" s="140">
        <f>575.5+132.6</f>
        <v>708.1</v>
      </c>
      <c r="C22" s="276" t="s">
        <v>237</v>
      </c>
      <c r="D22" t="s">
        <v>779</v>
      </c>
      <c r="K22" s="29"/>
      <c r="L22" t="s">
        <v>778</v>
      </c>
    </row>
    <row r="23" spans="1:19">
      <c r="A23" s="3" t="s">
        <v>24</v>
      </c>
      <c r="B23" s="141">
        <f>SUM(B22)</f>
        <v>708.1</v>
      </c>
      <c r="C23" s="141" t="s">
        <v>237</v>
      </c>
      <c r="K23" s="29">
        <f>B23/B41</f>
        <v>5.8917770827793932E-2</v>
      </c>
    </row>
    <row r="24" spans="1:19">
      <c r="B24" s="35"/>
      <c r="C24" s="35"/>
      <c r="K24" s="29"/>
    </row>
    <row r="25" spans="1:19">
      <c r="A25" s="2" t="s">
        <v>18</v>
      </c>
      <c r="B25" s="35"/>
      <c r="C25" s="35"/>
      <c r="I25" s="9"/>
      <c r="K25" s="29"/>
    </row>
    <row r="26" spans="1:19">
      <c r="A26" t="s">
        <v>17</v>
      </c>
      <c r="B26" s="156">
        <f>'SA $ by prov 10-11'!B15</f>
        <v>3535.8</v>
      </c>
      <c r="C26" s="35"/>
      <c r="D26" t="s">
        <v>610</v>
      </c>
      <c r="K26" s="29"/>
      <c r="L26" t="s">
        <v>611</v>
      </c>
    </row>
    <row r="27" spans="1:19">
      <c r="A27" t="s">
        <v>12</v>
      </c>
      <c r="B27" s="140">
        <f>119.4*0.55</f>
        <v>65.67</v>
      </c>
      <c r="C27" s="140" t="s">
        <v>237</v>
      </c>
      <c r="D27" s="149" t="s">
        <v>802</v>
      </c>
      <c r="E27" s="136"/>
      <c r="F27" s="136"/>
      <c r="G27" s="136"/>
      <c r="H27" s="136"/>
      <c r="I27" s="136"/>
      <c r="K27" s="29"/>
      <c r="L27" t="s">
        <v>784</v>
      </c>
    </row>
    <row r="28" spans="1:19">
      <c r="A28" s="3" t="s">
        <v>24</v>
      </c>
      <c r="B28" s="141">
        <f>SUM(B26:B27)</f>
        <v>3601.4700000000003</v>
      </c>
      <c r="C28" s="141" t="s">
        <v>237</v>
      </c>
      <c r="K28" s="29">
        <f>B28/B41</f>
        <v>0.29966188970932783</v>
      </c>
    </row>
    <row r="29" spans="1:19">
      <c r="B29" s="35"/>
      <c r="C29" s="35"/>
      <c r="K29" s="29"/>
    </row>
    <row r="30" spans="1:19">
      <c r="A30" s="2" t="s">
        <v>13</v>
      </c>
      <c r="B30" s="35"/>
      <c r="C30" s="35"/>
      <c r="K30" s="29"/>
    </row>
    <row r="31" spans="1:19">
      <c r="A31" t="s">
        <v>7</v>
      </c>
      <c r="B31" s="35">
        <v>2263.6</v>
      </c>
      <c r="C31" s="35"/>
      <c r="D31" t="s">
        <v>544</v>
      </c>
      <c r="K31" s="29"/>
      <c r="L31" t="s">
        <v>205</v>
      </c>
    </row>
    <row r="32" spans="1:19">
      <c r="B32" s="35"/>
      <c r="C32" s="35"/>
      <c r="D32" t="s">
        <v>167</v>
      </c>
      <c r="K32" s="29"/>
    </row>
    <row r="33" spans="1:12">
      <c r="A33" t="s">
        <v>8</v>
      </c>
      <c r="B33" s="35"/>
      <c r="C33" s="35"/>
      <c r="D33" s="6"/>
      <c r="K33" s="29"/>
    </row>
    <row r="34" spans="1:12">
      <c r="A34" s="3" t="s">
        <v>57</v>
      </c>
      <c r="B34" s="36">
        <f>SUM(B31:B33)</f>
        <v>2263.6</v>
      </c>
      <c r="C34" s="36"/>
      <c r="K34" s="29">
        <f>B34/B41</f>
        <v>0.18834383003219085</v>
      </c>
    </row>
    <row r="35" spans="1:12">
      <c r="A35" s="3"/>
      <c r="B35" s="35"/>
      <c r="C35" s="35"/>
      <c r="K35" s="29"/>
    </row>
    <row r="36" spans="1:12">
      <c r="A36" s="2" t="s">
        <v>64</v>
      </c>
      <c r="B36" s="35"/>
      <c r="C36" s="35"/>
      <c r="K36" s="29"/>
    </row>
    <row r="37" spans="1:12">
      <c r="A37" t="s">
        <v>9</v>
      </c>
      <c r="B37" s="35">
        <v>476</v>
      </c>
      <c r="C37" s="35"/>
      <c r="D37" t="s">
        <v>548</v>
      </c>
      <c r="K37" s="29"/>
      <c r="L37" t="s">
        <v>75</v>
      </c>
    </row>
    <row r="38" spans="1:12">
      <c r="A38" t="s">
        <v>10</v>
      </c>
      <c r="B38" s="35">
        <v>1983</v>
      </c>
      <c r="C38" s="35"/>
      <c r="D38" t="s">
        <v>548</v>
      </c>
      <c r="K38" s="29"/>
      <c r="L38" t="s">
        <v>692</v>
      </c>
    </row>
    <row r="39" spans="1:12">
      <c r="A39" s="3" t="s">
        <v>24</v>
      </c>
      <c r="B39" s="36">
        <f>SUM(B37:B38)</f>
        <v>2459</v>
      </c>
      <c r="C39" s="36"/>
      <c r="K39" s="29">
        <f>B39/B41</f>
        <v>0.20460217266706013</v>
      </c>
    </row>
    <row r="40" spans="1:12">
      <c r="B40" s="35"/>
      <c r="C40" s="35"/>
      <c r="K40" s="29"/>
    </row>
    <row r="41" spans="1:12" ht="15.75">
      <c r="A41" s="4" t="s">
        <v>23</v>
      </c>
      <c r="B41" s="277">
        <f>B13+B19+B23+B28+B34+B39</f>
        <v>12018.4452</v>
      </c>
      <c r="C41" s="277" t="s">
        <v>237</v>
      </c>
      <c r="K41" s="29">
        <f>SUM(K13:K39)</f>
        <v>1</v>
      </c>
    </row>
    <row r="42" spans="1:12" ht="15.75">
      <c r="A42" s="4"/>
    </row>
    <row r="44" spans="1:12">
      <c r="A44" t="s">
        <v>540</v>
      </c>
    </row>
    <row r="45" spans="1:12">
      <c r="A45" s="39" t="s">
        <v>658</v>
      </c>
    </row>
    <row r="46" spans="1:12">
      <c r="A46" s="274" t="s">
        <v>773</v>
      </c>
      <c r="B46" s="103"/>
      <c r="C46" s="103"/>
      <c r="D46" s="107"/>
      <c r="L46" s="2"/>
    </row>
    <row r="47" spans="1:12">
      <c r="A47" s="274" t="s">
        <v>785</v>
      </c>
    </row>
    <row r="48" spans="1:12">
      <c r="A48" s="274" t="s">
        <v>816</v>
      </c>
    </row>
    <row r="49" spans="1:11">
      <c r="B49" s="22"/>
      <c r="C49" s="22"/>
    </row>
    <row r="50" spans="1:11">
      <c r="B50" s="22"/>
      <c r="C50" s="22"/>
    </row>
    <row r="51" spans="1:11">
      <c r="B51" s="22"/>
      <c r="C51" s="22"/>
    </row>
    <row r="52" spans="1:11">
      <c r="B52" s="22"/>
      <c r="C52" s="22"/>
    </row>
    <row r="53" spans="1:11">
      <c r="B53" s="22"/>
      <c r="C53" s="22"/>
    </row>
    <row r="54" spans="1:11">
      <c r="B54" s="22"/>
      <c r="C54" s="22"/>
    </row>
    <row r="55" spans="1:11">
      <c r="B55" s="22"/>
      <c r="C55" s="22"/>
      <c r="K55" s="7"/>
    </row>
    <row r="56" spans="1:11">
      <c r="A56" s="3"/>
      <c r="B56" s="22"/>
      <c r="C56" s="22"/>
      <c r="K56" s="7"/>
    </row>
    <row r="57" spans="1:11">
      <c r="B57" s="22"/>
      <c r="C57" s="22"/>
      <c r="K57" s="7"/>
    </row>
    <row r="58" spans="1:11">
      <c r="A58" s="2"/>
      <c r="B58" s="22"/>
      <c r="C58" s="22"/>
      <c r="K58" s="7"/>
    </row>
    <row r="59" spans="1:11">
      <c r="B59" s="22"/>
      <c r="C59" s="22"/>
      <c r="K59" s="7"/>
    </row>
    <row r="60" spans="1:11">
      <c r="B60" s="22"/>
      <c r="C60" s="22"/>
      <c r="K60" s="7"/>
    </row>
    <row r="61" spans="1:11">
      <c r="B61" s="22"/>
      <c r="C61" s="22"/>
      <c r="K61" s="7"/>
    </row>
    <row r="62" spans="1:11">
      <c r="A62" s="3"/>
      <c r="B62" s="22"/>
      <c r="C62" s="22"/>
      <c r="K62" s="7"/>
    </row>
    <row r="63" spans="1:11">
      <c r="B63" s="22"/>
      <c r="C63" s="22"/>
      <c r="K63" s="7"/>
    </row>
    <row r="64" spans="1:11">
      <c r="A64" s="2"/>
      <c r="B64" s="22"/>
      <c r="C64" s="22"/>
      <c r="K64" s="7"/>
    </row>
    <row r="65" spans="1:11">
      <c r="B65" s="22"/>
      <c r="C65" s="22"/>
      <c r="K65" s="7"/>
    </row>
    <row r="66" spans="1:11">
      <c r="A66" s="3"/>
      <c r="B66" s="22"/>
      <c r="C66" s="22"/>
      <c r="K66" s="7"/>
    </row>
    <row r="67" spans="1:11">
      <c r="B67" s="22"/>
      <c r="C67" s="22"/>
      <c r="K67" s="7"/>
    </row>
    <row r="68" spans="1:11">
      <c r="A68" s="2"/>
      <c r="B68" s="22"/>
      <c r="C68" s="22"/>
      <c r="I68" s="9"/>
      <c r="K68" s="7"/>
    </row>
    <row r="69" spans="1:11">
      <c r="B69" s="22"/>
      <c r="C69" s="22"/>
      <c r="K69" s="7"/>
    </row>
    <row r="70" spans="1:11">
      <c r="B70" s="22"/>
      <c r="C70" s="22"/>
      <c r="K70" s="7"/>
    </row>
    <row r="71" spans="1:11">
      <c r="A71" s="3"/>
      <c r="B71" s="22"/>
      <c r="C71" s="22"/>
      <c r="K71" s="7"/>
    </row>
    <row r="72" spans="1:11">
      <c r="B72" s="22"/>
      <c r="C72" s="22"/>
      <c r="K72" s="7"/>
    </row>
    <row r="73" spans="1:11">
      <c r="A73" s="2"/>
      <c r="B73" s="22"/>
      <c r="C73" s="22"/>
      <c r="K73" s="7"/>
    </row>
    <row r="74" spans="1:11">
      <c r="B74" s="22"/>
      <c r="C74" s="22"/>
      <c r="K74" s="7"/>
    </row>
    <row r="75" spans="1:11">
      <c r="B75" s="22"/>
      <c r="C75" s="22"/>
      <c r="K75" s="7"/>
    </row>
    <row r="76" spans="1:11">
      <c r="A76" s="3"/>
      <c r="B76" s="22"/>
      <c r="C76" s="22"/>
      <c r="K76" s="7"/>
    </row>
    <row r="77" spans="1:11">
      <c r="B77" s="22"/>
      <c r="C77" s="22"/>
      <c r="K77" s="7"/>
    </row>
    <row r="78" spans="1:11">
      <c r="B78" s="22"/>
      <c r="C78" s="22"/>
      <c r="K78" s="7"/>
    </row>
    <row r="79" spans="1:11">
      <c r="B79" s="22"/>
      <c r="C79" s="22"/>
      <c r="K79" s="7"/>
    </row>
    <row r="80" spans="1:11">
      <c r="A80" s="3"/>
      <c r="B80" s="22"/>
      <c r="C80" s="22"/>
      <c r="K80" s="7"/>
    </row>
    <row r="81" spans="1:4">
      <c r="B81" s="22"/>
      <c r="C81" s="22"/>
    </row>
    <row r="82" spans="1:4" ht="15.75">
      <c r="A82" s="4"/>
    </row>
    <row r="83" spans="1:4" ht="15.75">
      <c r="A83" s="4"/>
    </row>
    <row r="84" spans="1:4" ht="15.75">
      <c r="A84" s="4"/>
    </row>
    <row r="95" spans="1:4">
      <c r="D95" s="7"/>
    </row>
    <row r="96" spans="1:4">
      <c r="D96" s="7"/>
    </row>
    <row r="97" spans="4:4">
      <c r="D97" s="7"/>
    </row>
    <row r="98" spans="4:4">
      <c r="D98" s="7"/>
    </row>
  </sheetData>
  <hyperlinks>
    <hyperlink ref="L12" r:id="rId1"/>
  </hyperlinks>
  <pageMargins left="0.70866141732283472" right="0.70866141732283472" top="0.74803149606299213" bottom="0.74803149606299213" header="0.31496062992125984" footer="0.31496062992125984"/>
  <pageSetup scale="61" orientation="landscape" verticalDpi="0" r:id="rId2"/>
</worksheet>
</file>

<file path=xl/worksheets/sheet18.xml><?xml version="1.0" encoding="utf-8"?>
<worksheet xmlns="http://schemas.openxmlformats.org/spreadsheetml/2006/main" xmlns:r="http://schemas.openxmlformats.org/officeDocument/2006/relationships">
  <sheetPr>
    <pageSetUpPr fitToPage="1"/>
  </sheetPr>
  <dimension ref="A1:S98"/>
  <sheetViews>
    <sheetView workbookViewId="0">
      <selection activeCell="G6" sqref="G6"/>
    </sheetView>
  </sheetViews>
  <sheetFormatPr defaultRowHeight="12.75"/>
  <cols>
    <col min="1" max="1" width="35.42578125" customWidth="1"/>
    <col min="2" max="2" width="16.7109375" customWidth="1"/>
    <col min="3" max="3" width="2.7109375" customWidth="1"/>
    <col min="11" max="11" width="9.28515625" bestFit="1" customWidth="1"/>
  </cols>
  <sheetData>
    <row r="1" spans="1:12">
      <c r="B1" s="1" t="s">
        <v>172</v>
      </c>
      <c r="C1" s="1"/>
    </row>
    <row r="2" spans="1:12">
      <c r="B2" s="1" t="s">
        <v>181</v>
      </c>
      <c r="C2" s="1"/>
    </row>
    <row r="3" spans="1:12">
      <c r="B3" s="1" t="s">
        <v>16</v>
      </c>
      <c r="C3" s="1"/>
      <c r="D3" s="2" t="s">
        <v>59</v>
      </c>
      <c r="L3" s="2" t="s">
        <v>92</v>
      </c>
    </row>
    <row r="4" spans="1:12">
      <c r="A4" s="2" t="s">
        <v>11</v>
      </c>
    </row>
    <row r="6" spans="1:12">
      <c r="A6" t="s">
        <v>0</v>
      </c>
      <c r="B6" s="140">
        <f>'CAN Disability details 09-10'!B6*0.388</f>
        <v>240.56</v>
      </c>
      <c r="C6" s="35" t="s">
        <v>237</v>
      </c>
      <c r="D6" t="s">
        <v>811</v>
      </c>
      <c r="L6" s="38" t="s">
        <v>810</v>
      </c>
    </row>
    <row r="7" spans="1:12">
      <c r="A7" t="s">
        <v>1</v>
      </c>
      <c r="B7" s="140">
        <f>'CAN Disability details 09-10'!B7*0.388</f>
        <v>388</v>
      </c>
      <c r="C7" s="35" t="s">
        <v>237</v>
      </c>
      <c r="D7" s="6" t="s">
        <v>477</v>
      </c>
      <c r="K7" s="29"/>
    </row>
    <row r="8" spans="1:12">
      <c r="A8" t="s">
        <v>14</v>
      </c>
      <c r="B8" s="140">
        <f>'CAN Disability details 09-10'!B8*0.388</f>
        <v>37.636000000000003</v>
      </c>
      <c r="C8" s="35" t="s">
        <v>237</v>
      </c>
      <c r="K8" s="29"/>
    </row>
    <row r="9" spans="1:12">
      <c r="A9" t="s">
        <v>2</v>
      </c>
      <c r="B9" s="35">
        <f>'CAN Disability details 09-10'!B9*0.388</f>
        <v>1.94</v>
      </c>
      <c r="C9" s="35"/>
      <c r="K9" s="29"/>
    </row>
    <row r="10" spans="1:12">
      <c r="A10" s="52" t="s">
        <v>273</v>
      </c>
      <c r="B10" s="35">
        <f>'CAN Disability details 09-10'!B10*0.388</f>
        <v>0</v>
      </c>
      <c r="C10" s="35"/>
      <c r="K10" s="29"/>
    </row>
    <row r="11" spans="1:12">
      <c r="A11" t="s">
        <v>3</v>
      </c>
      <c r="B11" s="140">
        <f>'CAN Disability details 09-10'!B11*0.388</f>
        <v>50.440000000000005</v>
      </c>
      <c r="C11" s="35"/>
      <c r="K11" s="29"/>
    </row>
    <row r="12" spans="1:12">
      <c r="A12" t="s">
        <v>15</v>
      </c>
      <c r="B12" s="35">
        <f>'CAN Disability details 09-10'!B12*0.388</f>
        <v>76.242000000000004</v>
      </c>
      <c r="C12" s="35"/>
      <c r="D12" t="s">
        <v>367</v>
      </c>
      <c r="K12" s="29"/>
    </row>
    <row r="13" spans="1:12">
      <c r="A13" s="3" t="s">
        <v>24</v>
      </c>
      <c r="B13" s="141">
        <f>SUM(B6:B12)</f>
        <v>794.81799999999998</v>
      </c>
      <c r="C13" s="36" t="s">
        <v>237</v>
      </c>
      <c r="D13" s="6"/>
      <c r="K13" s="29">
        <f>B13/B41</f>
        <v>6.8214256436128537E-2</v>
      </c>
    </row>
    <row r="14" spans="1:12">
      <c r="B14" s="35"/>
      <c r="C14" s="35"/>
      <c r="K14" s="29"/>
    </row>
    <row r="15" spans="1:12">
      <c r="A15" s="2" t="s">
        <v>4</v>
      </c>
      <c r="B15" s="35"/>
      <c r="C15" s="35"/>
      <c r="K15" s="29"/>
    </row>
    <row r="16" spans="1:12">
      <c r="A16" t="s">
        <v>5</v>
      </c>
      <c r="B16" s="35">
        <v>1732.2</v>
      </c>
      <c r="C16" s="35" t="s">
        <v>237</v>
      </c>
      <c r="D16" t="s">
        <v>365</v>
      </c>
      <c r="K16" s="29"/>
      <c r="L16" t="s">
        <v>366</v>
      </c>
    </row>
    <row r="17" spans="1:19">
      <c r="A17" t="s">
        <v>69</v>
      </c>
      <c r="B17" s="35"/>
      <c r="C17" s="35"/>
      <c r="K17" s="29"/>
    </row>
    <row r="18" spans="1:19">
      <c r="A18" t="s">
        <v>6</v>
      </c>
      <c r="B18" s="140">
        <v>308.39999999999998</v>
      </c>
      <c r="C18" s="140" t="s">
        <v>237</v>
      </c>
      <c r="D18" s="136" t="s">
        <v>394</v>
      </c>
      <c r="E18" s="136"/>
      <c r="F18" s="136"/>
      <c r="G18" s="136"/>
      <c r="H18" s="136"/>
      <c r="I18" s="136"/>
      <c r="J18" s="136"/>
      <c r="K18" s="137"/>
      <c r="L18" s="101" t="s">
        <v>395</v>
      </c>
      <c r="M18" s="136"/>
      <c r="N18" s="136"/>
      <c r="O18" s="136"/>
      <c r="P18" s="136"/>
      <c r="Q18" s="136"/>
      <c r="R18" s="136"/>
      <c r="S18" s="136"/>
    </row>
    <row r="19" spans="1:19">
      <c r="A19" s="3" t="s">
        <v>24</v>
      </c>
      <c r="B19" s="141">
        <f>SUM(B16:B18)</f>
        <v>2040.6</v>
      </c>
      <c r="C19" s="36" t="s">
        <v>237</v>
      </c>
      <c r="K19" s="29">
        <f>B19/B41</f>
        <v>0.17513193169198971</v>
      </c>
    </row>
    <row r="20" spans="1:19">
      <c r="B20" s="35"/>
      <c r="C20" s="35"/>
      <c r="K20" s="29"/>
    </row>
    <row r="21" spans="1:19">
      <c r="A21" s="2" t="s">
        <v>99</v>
      </c>
      <c r="B21" s="35"/>
      <c r="C21" s="35"/>
      <c r="K21" s="29"/>
    </row>
    <row r="22" spans="1:19">
      <c r="A22" t="s">
        <v>100</v>
      </c>
      <c r="B22" s="35">
        <f>'CAN Disability details 09-10'!B22*0.346</f>
        <v>702.44920000000002</v>
      </c>
      <c r="C22" s="35" t="s">
        <v>237</v>
      </c>
      <c r="D22" t="s">
        <v>457</v>
      </c>
      <c r="K22" s="29"/>
      <c r="L22" t="s">
        <v>110</v>
      </c>
    </row>
    <row r="23" spans="1:19">
      <c r="A23" s="3" t="s">
        <v>24</v>
      </c>
      <c r="B23" s="36">
        <f>SUM(B22)</f>
        <v>702.44920000000002</v>
      </c>
      <c r="C23" s="36" t="s">
        <v>237</v>
      </c>
      <c r="D23" t="s">
        <v>458</v>
      </c>
      <c r="K23" s="29">
        <f>B23/B41</f>
        <v>6.0286820205573279E-2</v>
      </c>
    </row>
    <row r="24" spans="1:19">
      <c r="B24" s="35"/>
      <c r="C24" s="35"/>
      <c r="K24" s="29"/>
    </row>
    <row r="25" spans="1:19">
      <c r="A25" s="2" t="s">
        <v>18</v>
      </c>
      <c r="B25" s="35"/>
      <c r="C25" s="35"/>
      <c r="I25" s="9"/>
      <c r="K25" s="29"/>
    </row>
    <row r="26" spans="1:19">
      <c r="A26" t="s">
        <v>17</v>
      </c>
      <c r="B26" s="199">
        <f>'SA $ by prov 09-10'!B16</f>
        <v>3294.5</v>
      </c>
      <c r="C26" s="199" t="s">
        <v>237</v>
      </c>
      <c r="D26" s="153" t="s">
        <v>214</v>
      </c>
      <c r="E26" s="153"/>
      <c r="F26" s="153"/>
      <c r="G26" s="153"/>
      <c r="K26" s="29"/>
      <c r="L26" t="s">
        <v>213</v>
      </c>
    </row>
    <row r="27" spans="1:19">
      <c r="A27" t="s">
        <v>12</v>
      </c>
      <c r="B27" s="199">
        <f>118.4*0.55</f>
        <v>65.12</v>
      </c>
      <c r="C27" s="199" t="s">
        <v>237</v>
      </c>
      <c r="D27" s="153" t="s">
        <v>683</v>
      </c>
      <c r="E27" s="153"/>
      <c r="F27" s="153"/>
      <c r="G27" s="153"/>
      <c r="K27" s="29"/>
      <c r="L27" t="s">
        <v>110</v>
      </c>
    </row>
    <row r="28" spans="1:19">
      <c r="A28" s="3" t="s">
        <v>24</v>
      </c>
      <c r="B28" s="201">
        <f>SUM(B26:B27)</f>
        <v>3359.62</v>
      </c>
      <c r="C28" s="201" t="s">
        <v>237</v>
      </c>
      <c r="D28" s="153" t="s">
        <v>681</v>
      </c>
      <c r="E28" s="153"/>
      <c r="K28" s="29">
        <f>B28/B41</f>
        <v>0.28833516629963857</v>
      </c>
    </row>
    <row r="29" spans="1:19">
      <c r="B29" s="35"/>
      <c r="C29" s="35"/>
      <c r="K29" s="29"/>
    </row>
    <row r="30" spans="1:19">
      <c r="A30" s="2" t="s">
        <v>13</v>
      </c>
      <c r="B30" s="35"/>
      <c r="C30" s="35"/>
      <c r="K30" s="29"/>
    </row>
    <row r="31" spans="1:19">
      <c r="A31" t="s">
        <v>7</v>
      </c>
      <c r="B31" s="35">
        <v>2342.3000000000002</v>
      </c>
      <c r="C31" s="35"/>
      <c r="D31" t="s">
        <v>361</v>
      </c>
      <c r="K31" s="29"/>
      <c r="L31" t="s">
        <v>165</v>
      </c>
    </row>
    <row r="32" spans="1:19">
      <c r="B32" s="35"/>
      <c r="C32" s="35"/>
      <c r="D32" t="s">
        <v>167</v>
      </c>
      <c r="K32" s="29"/>
    </row>
    <row r="33" spans="1:12">
      <c r="A33" t="s">
        <v>8</v>
      </c>
      <c r="B33" s="35"/>
      <c r="C33" s="35"/>
      <c r="D33" s="6"/>
      <c r="K33" s="29"/>
      <c r="L33" t="s">
        <v>106</v>
      </c>
    </row>
    <row r="34" spans="1:12">
      <c r="A34" s="3" t="s">
        <v>57</v>
      </c>
      <c r="B34" s="36">
        <f>SUM(B31:B33)</f>
        <v>2342.3000000000002</v>
      </c>
      <c r="C34" s="36"/>
      <c r="K34" s="29">
        <f>B34/B41</f>
        <v>0.20102495521030458</v>
      </c>
    </row>
    <row r="35" spans="1:12">
      <c r="A35" s="3"/>
      <c r="B35" s="35"/>
      <c r="C35" s="35"/>
      <c r="K35" s="29"/>
    </row>
    <row r="36" spans="1:12">
      <c r="A36" s="2" t="s">
        <v>64</v>
      </c>
      <c r="B36" s="35"/>
      <c r="C36" s="35"/>
      <c r="K36" s="29"/>
    </row>
    <row r="37" spans="1:12">
      <c r="A37" t="s">
        <v>9</v>
      </c>
      <c r="B37" s="35">
        <v>482</v>
      </c>
      <c r="C37" s="35" t="s">
        <v>237</v>
      </c>
      <c r="D37" t="s">
        <v>207</v>
      </c>
      <c r="K37" s="29"/>
      <c r="L37" t="s">
        <v>75</v>
      </c>
    </row>
    <row r="38" spans="1:12">
      <c r="A38" t="s">
        <v>10</v>
      </c>
      <c r="B38" s="35">
        <v>1930</v>
      </c>
      <c r="C38" s="35" t="s">
        <v>237</v>
      </c>
      <c r="D38" t="s">
        <v>207</v>
      </c>
      <c r="K38" s="29"/>
      <c r="L38" t="s">
        <v>378</v>
      </c>
    </row>
    <row r="39" spans="1:12">
      <c r="A39" s="3" t="s">
        <v>24</v>
      </c>
      <c r="B39" s="36">
        <f>SUM(B37:B38)</f>
        <v>2412</v>
      </c>
      <c r="C39" s="36" t="s">
        <v>237</v>
      </c>
      <c r="K39" s="29">
        <f>B39/B41</f>
        <v>0.2070068701563654</v>
      </c>
    </row>
    <row r="40" spans="1:12">
      <c r="B40" s="35"/>
      <c r="C40" s="35"/>
      <c r="K40" s="29"/>
    </row>
    <row r="41" spans="1:12" ht="15.75">
      <c r="A41" s="4" t="s">
        <v>23</v>
      </c>
      <c r="B41" s="202">
        <f>B13+B19+B23+B28+B34+B39</f>
        <v>11651.787199999999</v>
      </c>
      <c r="C41" s="202" t="s">
        <v>237</v>
      </c>
      <c r="D41" s="153" t="s">
        <v>681</v>
      </c>
      <c r="E41" s="153"/>
      <c r="K41" s="29">
        <f>SUM(K13:K39)</f>
        <v>1</v>
      </c>
    </row>
    <row r="42" spans="1:12" ht="15.75">
      <c r="A42" s="4"/>
    </row>
    <row r="43" spans="1:12">
      <c r="A43" s="52" t="s">
        <v>318</v>
      </c>
    </row>
    <row r="44" spans="1:12">
      <c r="A44" s="52" t="s">
        <v>387</v>
      </c>
    </row>
    <row r="46" spans="1:12">
      <c r="A46" s="136" t="s">
        <v>396</v>
      </c>
      <c r="B46" s="136"/>
      <c r="C46" s="136"/>
      <c r="D46" s="142"/>
      <c r="L46" s="2"/>
    </row>
    <row r="47" spans="1:12">
      <c r="A47" s="52" t="s">
        <v>472</v>
      </c>
    </row>
    <row r="48" spans="1:12">
      <c r="A48" s="52" t="s">
        <v>473</v>
      </c>
    </row>
    <row r="49" spans="1:11">
      <c r="B49" s="22"/>
      <c r="C49" s="22"/>
    </row>
    <row r="50" spans="1:11">
      <c r="A50" s="153" t="s">
        <v>605</v>
      </c>
      <c r="B50" s="192"/>
      <c r="C50" s="192"/>
      <c r="D50" s="153"/>
      <c r="E50" s="153"/>
      <c r="F50" s="153"/>
      <c r="G50" s="153"/>
    </row>
    <row r="51" spans="1:11">
      <c r="A51" s="153" t="s">
        <v>679</v>
      </c>
      <c r="B51" s="192"/>
      <c r="C51" s="22"/>
    </row>
    <row r="52" spans="1:11">
      <c r="A52" s="136" t="s">
        <v>819</v>
      </c>
      <c r="B52" s="282"/>
      <c r="C52" s="22"/>
    </row>
    <row r="53" spans="1:11">
      <c r="B53" s="22"/>
      <c r="C53" s="22"/>
    </row>
    <row r="54" spans="1:11">
      <c r="B54" s="22"/>
      <c r="C54" s="22"/>
    </row>
    <row r="55" spans="1:11">
      <c r="B55" s="22"/>
      <c r="C55" s="22"/>
      <c r="K55" s="7"/>
    </row>
    <row r="56" spans="1:11">
      <c r="A56" s="3"/>
      <c r="B56" s="22"/>
      <c r="C56" s="22"/>
      <c r="K56" s="7"/>
    </row>
    <row r="57" spans="1:11">
      <c r="B57" s="22"/>
      <c r="C57" s="22"/>
      <c r="K57" s="7"/>
    </row>
    <row r="58" spans="1:11">
      <c r="A58" s="2"/>
      <c r="B58" s="22"/>
      <c r="C58" s="22"/>
      <c r="K58" s="7"/>
    </row>
    <row r="59" spans="1:11">
      <c r="B59" s="22"/>
      <c r="C59" s="22"/>
      <c r="K59" s="7"/>
    </row>
    <row r="60" spans="1:11">
      <c r="B60" s="22"/>
      <c r="C60" s="22"/>
      <c r="K60" s="7"/>
    </row>
    <row r="61" spans="1:11">
      <c r="B61" s="22"/>
      <c r="C61" s="22"/>
      <c r="K61" s="7"/>
    </row>
    <row r="62" spans="1:11">
      <c r="A62" s="3"/>
      <c r="B62" s="22"/>
      <c r="C62" s="22"/>
      <c r="K62" s="7"/>
    </row>
    <row r="63" spans="1:11">
      <c r="B63" s="22"/>
      <c r="C63" s="22"/>
      <c r="K63" s="7"/>
    </row>
    <row r="64" spans="1:11">
      <c r="A64" s="2"/>
      <c r="B64" s="22"/>
      <c r="C64" s="22"/>
      <c r="K64" s="7"/>
    </row>
    <row r="65" spans="1:11">
      <c r="B65" s="22"/>
      <c r="C65" s="22"/>
      <c r="K65" s="7"/>
    </row>
    <row r="66" spans="1:11">
      <c r="A66" s="3"/>
      <c r="B66" s="22"/>
      <c r="C66" s="22"/>
      <c r="K66" s="7"/>
    </row>
    <row r="67" spans="1:11">
      <c r="B67" s="22"/>
      <c r="C67" s="22"/>
      <c r="K67" s="7"/>
    </row>
    <row r="68" spans="1:11">
      <c r="A68" s="2"/>
      <c r="B68" s="22"/>
      <c r="C68" s="22"/>
      <c r="I68" s="9"/>
      <c r="K68" s="7"/>
    </row>
    <row r="69" spans="1:11">
      <c r="B69" s="22"/>
      <c r="C69" s="22"/>
      <c r="K69" s="7"/>
    </row>
    <row r="70" spans="1:11">
      <c r="B70" s="22"/>
      <c r="C70" s="22"/>
      <c r="K70" s="7"/>
    </row>
    <row r="71" spans="1:11">
      <c r="A71" s="3"/>
      <c r="B71" s="22"/>
      <c r="C71" s="22"/>
      <c r="K71" s="7"/>
    </row>
    <row r="72" spans="1:11">
      <c r="B72" s="22"/>
      <c r="C72" s="22"/>
      <c r="K72" s="7"/>
    </row>
    <row r="73" spans="1:11">
      <c r="A73" s="2"/>
      <c r="B73" s="22"/>
      <c r="C73" s="22"/>
      <c r="K73" s="7"/>
    </row>
    <row r="74" spans="1:11">
      <c r="B74" s="22"/>
      <c r="C74" s="22"/>
      <c r="K74" s="7"/>
    </row>
    <row r="75" spans="1:11">
      <c r="B75" s="22"/>
      <c r="C75" s="22"/>
      <c r="K75" s="7"/>
    </row>
    <row r="76" spans="1:11">
      <c r="A76" s="3"/>
      <c r="B76" s="22"/>
      <c r="C76" s="22"/>
      <c r="K76" s="7"/>
    </row>
    <row r="77" spans="1:11">
      <c r="B77" s="22"/>
      <c r="C77" s="22"/>
      <c r="K77" s="7"/>
    </row>
    <row r="78" spans="1:11">
      <c r="B78" s="22"/>
      <c r="C78" s="22"/>
      <c r="K78" s="7"/>
    </row>
    <row r="79" spans="1:11">
      <c r="B79" s="22"/>
      <c r="C79" s="22"/>
      <c r="K79" s="7"/>
    </row>
    <row r="80" spans="1:11">
      <c r="A80" s="3"/>
      <c r="B80" s="22"/>
      <c r="C80" s="22"/>
      <c r="K80" s="7"/>
    </row>
    <row r="81" spans="1:4">
      <c r="B81" s="22"/>
      <c r="C81" s="22"/>
    </row>
    <row r="82" spans="1:4" ht="15.75">
      <c r="A82" s="4"/>
    </row>
    <row r="83" spans="1:4" ht="15.75">
      <c r="A83" s="4"/>
    </row>
    <row r="84" spans="1:4" ht="15.75">
      <c r="A84" s="4"/>
    </row>
    <row r="95" spans="1:4">
      <c r="D95" s="7"/>
    </row>
    <row r="96" spans="1:4">
      <c r="D96" s="7"/>
    </row>
    <row r="97" spans="4:4">
      <c r="D97" s="7"/>
    </row>
    <row r="98" spans="4:4">
      <c r="D98" s="7"/>
    </row>
  </sheetData>
  <hyperlinks>
    <hyperlink ref="L18" r:id="rId1"/>
  </hyperlinks>
  <pageMargins left="0.70866141732283472" right="0.70866141732283472" top="0.74803149606299213" bottom="0.74803149606299213" header="0.31496062992125984" footer="0.31496062992125984"/>
  <pageSetup scale="61" orientation="landscape" verticalDpi="0" r:id="rId2"/>
  <legacyDrawing r:id="rId3"/>
</worksheet>
</file>

<file path=xl/worksheets/sheet19.xml><?xml version="1.0" encoding="utf-8"?>
<worksheet xmlns="http://schemas.openxmlformats.org/spreadsheetml/2006/main" xmlns:r="http://schemas.openxmlformats.org/officeDocument/2006/relationships">
  <sheetPr>
    <pageSetUpPr fitToPage="1"/>
  </sheetPr>
  <dimension ref="A1:S98"/>
  <sheetViews>
    <sheetView topLeftCell="A19" workbookViewId="0">
      <selection activeCell="A49" sqref="A49"/>
    </sheetView>
  </sheetViews>
  <sheetFormatPr defaultRowHeight="12.75"/>
  <cols>
    <col min="1" max="1" width="35.42578125" customWidth="1"/>
    <col min="2" max="2" width="16.7109375" customWidth="1"/>
    <col min="3" max="3" width="2.7109375" customWidth="1"/>
    <col min="11" max="11" width="9.28515625" bestFit="1" customWidth="1"/>
  </cols>
  <sheetData>
    <row r="1" spans="1:12">
      <c r="B1" s="1" t="s">
        <v>172</v>
      </c>
      <c r="C1" s="1"/>
    </row>
    <row r="2" spans="1:12">
      <c r="B2" s="1" t="s">
        <v>104</v>
      </c>
      <c r="C2" s="1"/>
    </row>
    <row r="3" spans="1:12">
      <c r="B3" s="1" t="s">
        <v>16</v>
      </c>
      <c r="C3" s="1"/>
      <c r="D3" s="2" t="s">
        <v>59</v>
      </c>
      <c r="L3" s="2" t="s">
        <v>92</v>
      </c>
    </row>
    <row r="4" spans="1:12">
      <c r="A4" s="2" t="s">
        <v>11</v>
      </c>
    </row>
    <row r="6" spans="1:12">
      <c r="A6" t="s">
        <v>0</v>
      </c>
      <c r="B6" s="35">
        <f>'CAN Dis $ details 08-09'!B6*0.39</f>
        <v>247.65</v>
      </c>
      <c r="C6" s="35" t="s">
        <v>237</v>
      </c>
      <c r="D6" t="s">
        <v>345</v>
      </c>
      <c r="L6" s="38" t="s">
        <v>344</v>
      </c>
    </row>
    <row r="7" spans="1:12">
      <c r="A7" t="s">
        <v>1</v>
      </c>
      <c r="B7" s="35">
        <f>'CAN Dis $ details 08-09'!B7*0.39</f>
        <v>388.05</v>
      </c>
      <c r="C7" s="35" t="s">
        <v>237</v>
      </c>
      <c r="D7" s="6" t="s">
        <v>177</v>
      </c>
      <c r="K7" s="29"/>
    </row>
    <row r="8" spans="1:12">
      <c r="A8" t="s">
        <v>14</v>
      </c>
      <c r="B8" s="35">
        <f>'CAN Dis $ details 08-09'!B8*0.39</f>
        <v>35.1</v>
      </c>
      <c r="C8" s="35" t="s">
        <v>237</v>
      </c>
      <c r="K8" s="29"/>
    </row>
    <row r="9" spans="1:12">
      <c r="A9" t="s">
        <v>2</v>
      </c>
      <c r="B9" s="35">
        <f>'CAN Dis $ details 08-09'!B9*0.39</f>
        <v>1.9500000000000002</v>
      </c>
      <c r="C9" s="35"/>
      <c r="K9" s="29"/>
    </row>
    <row r="10" spans="1:12">
      <c r="A10" s="52" t="s">
        <v>273</v>
      </c>
      <c r="B10" s="35">
        <f>'CAN Dis $ details 08-09'!B10*0.39</f>
        <v>0</v>
      </c>
      <c r="C10" s="35"/>
      <c r="K10" s="29"/>
    </row>
    <row r="11" spans="1:12">
      <c r="A11" t="s">
        <v>3</v>
      </c>
      <c r="B11" s="35">
        <f>'CAN Dis $ details 08-09'!B11*0.39</f>
        <v>46.800000000000004</v>
      </c>
      <c r="C11" s="35"/>
      <c r="K11" s="29"/>
    </row>
    <row r="12" spans="1:12">
      <c r="A12" t="s">
        <v>15</v>
      </c>
      <c r="B12" s="35">
        <f>'CAN Dis $ details 08-09'!B12*0.39</f>
        <v>62.751000000000005</v>
      </c>
      <c r="C12" s="35"/>
      <c r="D12" t="s">
        <v>367</v>
      </c>
      <c r="K12" s="29"/>
    </row>
    <row r="13" spans="1:12">
      <c r="A13" s="3" t="s">
        <v>24</v>
      </c>
      <c r="B13" s="36">
        <f>SUM(B6:B12)</f>
        <v>782.30100000000004</v>
      </c>
      <c r="C13" s="36" t="s">
        <v>237</v>
      </c>
      <c r="D13" s="6"/>
      <c r="K13" s="29">
        <f>B13/B41</f>
        <v>7.0454996579474183E-2</v>
      </c>
    </row>
    <row r="14" spans="1:12">
      <c r="B14" s="35"/>
      <c r="C14" s="35"/>
      <c r="K14" s="29"/>
    </row>
    <row r="15" spans="1:12">
      <c r="A15" s="2" t="s">
        <v>4</v>
      </c>
      <c r="B15" s="35"/>
      <c r="C15" s="35"/>
      <c r="K15" s="29"/>
    </row>
    <row r="16" spans="1:12">
      <c r="A16" t="s">
        <v>5</v>
      </c>
      <c r="B16" s="35">
        <v>1656.8</v>
      </c>
      <c r="C16" s="35"/>
      <c r="D16" t="s">
        <v>174</v>
      </c>
      <c r="K16" s="29"/>
      <c r="L16" t="s">
        <v>175</v>
      </c>
    </row>
    <row r="17" spans="1:19">
      <c r="A17" t="s">
        <v>69</v>
      </c>
      <c r="B17" s="35"/>
      <c r="C17" s="35"/>
      <c r="K17" s="29"/>
    </row>
    <row r="18" spans="1:19">
      <c r="A18" t="s">
        <v>6</v>
      </c>
      <c r="B18" s="140">
        <v>289.5</v>
      </c>
      <c r="C18" s="140" t="s">
        <v>237</v>
      </c>
      <c r="D18" s="136" t="s">
        <v>394</v>
      </c>
      <c r="E18" s="136"/>
      <c r="F18" s="136"/>
      <c r="G18" s="136"/>
      <c r="H18" s="136"/>
      <c r="I18" s="136"/>
      <c r="J18" s="136"/>
      <c r="K18" s="137"/>
      <c r="L18" s="101" t="s">
        <v>395</v>
      </c>
      <c r="M18" s="136"/>
      <c r="N18" s="136"/>
      <c r="O18" s="136"/>
      <c r="P18" s="136"/>
      <c r="Q18" s="136"/>
      <c r="R18" s="136"/>
      <c r="S18" s="136"/>
    </row>
    <row r="19" spans="1:19">
      <c r="A19" s="3" t="s">
        <v>24</v>
      </c>
      <c r="B19" s="36">
        <f>SUM(B16:B18)</f>
        <v>1946.3</v>
      </c>
      <c r="C19" s="36" t="s">
        <v>237</v>
      </c>
      <c r="K19" s="29">
        <f>B19/B41</f>
        <v>0.17528618759611783</v>
      </c>
    </row>
    <row r="20" spans="1:19">
      <c r="B20" s="35"/>
      <c r="C20" s="35"/>
      <c r="K20" s="29"/>
    </row>
    <row r="21" spans="1:19">
      <c r="A21" s="2" t="s">
        <v>99</v>
      </c>
      <c r="B21" s="35"/>
      <c r="C21" s="35"/>
      <c r="K21" s="29"/>
    </row>
    <row r="22" spans="1:19">
      <c r="A22" t="s">
        <v>100</v>
      </c>
      <c r="B22" s="35">
        <v>621.20000000000005</v>
      </c>
      <c r="C22" s="35"/>
      <c r="D22" t="s">
        <v>176</v>
      </c>
      <c r="K22" s="29"/>
      <c r="L22" t="s">
        <v>110</v>
      </c>
    </row>
    <row r="23" spans="1:19">
      <c r="A23" s="3" t="s">
        <v>24</v>
      </c>
      <c r="B23" s="36">
        <f>SUM(B22)</f>
        <v>621.20000000000005</v>
      </c>
      <c r="C23" s="36"/>
      <c r="K23" s="29">
        <f>B23/B41</f>
        <v>5.5946041070086015E-2</v>
      </c>
    </row>
    <row r="24" spans="1:19">
      <c r="B24" s="35"/>
      <c r="C24" s="35"/>
      <c r="K24" s="29"/>
    </row>
    <row r="25" spans="1:19">
      <c r="A25" s="2" t="s">
        <v>18</v>
      </c>
      <c r="B25" s="35"/>
      <c r="C25" s="35"/>
      <c r="I25" s="9"/>
      <c r="K25" s="29"/>
    </row>
    <row r="26" spans="1:19">
      <c r="A26" t="s">
        <v>17</v>
      </c>
      <c r="B26" s="199">
        <f>'SA by prov 08-09'!B19</f>
        <v>3025</v>
      </c>
      <c r="C26" s="199" t="s">
        <v>237</v>
      </c>
      <c r="D26" s="153" t="s">
        <v>682</v>
      </c>
      <c r="E26" s="153"/>
      <c r="F26" s="153"/>
      <c r="G26" s="153"/>
      <c r="H26" s="153"/>
      <c r="K26" s="29"/>
      <c r="L26" t="s">
        <v>178</v>
      </c>
    </row>
    <row r="27" spans="1:19">
      <c r="A27" t="s">
        <v>12</v>
      </c>
      <c r="B27" s="221">
        <f>112.1*0.55</f>
        <v>61.655000000000001</v>
      </c>
      <c r="C27" s="222" t="s">
        <v>237</v>
      </c>
      <c r="D27" s="153" t="s">
        <v>681</v>
      </c>
      <c r="E27" s="153"/>
      <c r="K27" s="29"/>
      <c r="L27" s="52" t="s">
        <v>274</v>
      </c>
    </row>
    <row r="28" spans="1:19">
      <c r="A28" s="3" t="s">
        <v>24</v>
      </c>
      <c r="B28" s="201">
        <f>SUM(B26:B27)</f>
        <v>3086.6550000000002</v>
      </c>
      <c r="C28" s="203" t="s">
        <v>237</v>
      </c>
      <c r="D28" s="153" t="s">
        <v>681</v>
      </c>
      <c r="E28" s="153"/>
      <c r="K28" s="29">
        <f>B28/B41</f>
        <v>0.27798797070055753</v>
      </c>
      <c r="L28" s="52" t="s">
        <v>270</v>
      </c>
    </row>
    <row r="29" spans="1:19">
      <c r="B29" s="35"/>
      <c r="C29" s="35"/>
      <c r="K29" s="29"/>
    </row>
    <row r="30" spans="1:19">
      <c r="A30" s="2" t="s">
        <v>13</v>
      </c>
      <c r="B30" s="35"/>
      <c r="C30" s="35"/>
      <c r="K30" s="29"/>
    </row>
    <row r="31" spans="1:19">
      <c r="A31" t="s">
        <v>7</v>
      </c>
      <c r="B31" s="35">
        <v>2282.1</v>
      </c>
      <c r="C31" s="35"/>
      <c r="D31" t="s">
        <v>166</v>
      </c>
      <c r="K31" s="29"/>
      <c r="L31" t="s">
        <v>165</v>
      </c>
    </row>
    <row r="32" spans="1:19">
      <c r="B32" s="35"/>
      <c r="C32" s="35"/>
      <c r="D32" t="s">
        <v>167</v>
      </c>
      <c r="K32" s="29"/>
    </row>
    <row r="33" spans="1:12">
      <c r="A33" t="s">
        <v>8</v>
      </c>
      <c r="B33" s="35"/>
      <c r="C33" s="35"/>
      <c r="D33" s="6"/>
      <c r="K33" s="29"/>
      <c r="L33" t="s">
        <v>106</v>
      </c>
    </row>
    <row r="34" spans="1:12">
      <c r="A34" s="3" t="s">
        <v>57</v>
      </c>
      <c r="B34" s="36">
        <f>SUM(B31:B33)</f>
        <v>2282.1</v>
      </c>
      <c r="C34" s="36"/>
      <c r="K34" s="29">
        <f>B34/B41</f>
        <v>0.20552875132975415</v>
      </c>
    </row>
    <row r="35" spans="1:12">
      <c r="A35" s="3"/>
      <c r="B35" s="35"/>
      <c r="C35" s="35"/>
      <c r="K35" s="29"/>
    </row>
    <row r="36" spans="1:12">
      <c r="A36" s="2" t="s">
        <v>64</v>
      </c>
      <c r="B36" s="35"/>
      <c r="C36" s="35"/>
      <c r="K36" s="29"/>
    </row>
    <row r="37" spans="1:12">
      <c r="A37" t="s">
        <v>9</v>
      </c>
      <c r="B37" s="35">
        <v>548</v>
      </c>
      <c r="C37" s="35" t="s">
        <v>237</v>
      </c>
      <c r="D37" t="s">
        <v>109</v>
      </c>
      <c r="K37" s="29"/>
      <c r="L37" t="s">
        <v>75</v>
      </c>
    </row>
    <row r="38" spans="1:12">
      <c r="A38" t="s">
        <v>10</v>
      </c>
      <c r="B38" s="35">
        <v>1837</v>
      </c>
      <c r="C38" s="35" t="s">
        <v>237</v>
      </c>
      <c r="D38" t="s">
        <v>109</v>
      </c>
      <c r="K38" s="29"/>
      <c r="L38" t="s">
        <v>378</v>
      </c>
    </row>
    <row r="39" spans="1:12">
      <c r="A39" s="3" t="s">
        <v>24</v>
      </c>
      <c r="B39" s="36">
        <f>SUM(B37:B38)</f>
        <v>2385</v>
      </c>
      <c r="C39" s="36" t="s">
        <v>237</v>
      </c>
      <c r="K39" s="29">
        <f>B39/B41</f>
        <v>0.2147960527240102</v>
      </c>
    </row>
    <row r="40" spans="1:12">
      <c r="B40" s="35"/>
      <c r="C40" s="35"/>
      <c r="K40" s="29"/>
    </row>
    <row r="41" spans="1:12" ht="15.75">
      <c r="A41" s="4" t="s">
        <v>23</v>
      </c>
      <c r="B41" s="202">
        <f>B13+B19+B23+B28+B34+B39</f>
        <v>11103.556</v>
      </c>
      <c r="C41" s="202" t="s">
        <v>237</v>
      </c>
      <c r="D41" s="153" t="s">
        <v>681</v>
      </c>
      <c r="E41" s="153"/>
      <c r="K41" s="29">
        <f>SUM(K13:K39)</f>
        <v>1</v>
      </c>
    </row>
    <row r="42" spans="1:12" ht="15.75">
      <c r="A42" s="4"/>
    </row>
    <row r="43" spans="1:12">
      <c r="A43" s="52" t="s">
        <v>318</v>
      </c>
    </row>
    <row r="44" spans="1:12">
      <c r="A44" s="52" t="s">
        <v>387</v>
      </c>
    </row>
    <row r="46" spans="1:12">
      <c r="A46" s="136" t="s">
        <v>396</v>
      </c>
      <c r="B46" s="136"/>
      <c r="C46" s="136"/>
      <c r="D46" s="142"/>
      <c r="L46" s="2"/>
    </row>
    <row r="47" spans="1:12">
      <c r="A47" s="2"/>
    </row>
    <row r="48" spans="1:12">
      <c r="A48" s="153" t="s">
        <v>605</v>
      </c>
      <c r="B48" s="153"/>
      <c r="C48" s="153"/>
      <c r="D48" s="153"/>
      <c r="E48" s="153"/>
      <c r="F48" s="153"/>
      <c r="G48" s="153"/>
    </row>
    <row r="49" spans="1:11">
      <c r="A49" s="153" t="s">
        <v>679</v>
      </c>
      <c r="B49" s="192"/>
      <c r="C49" s="22"/>
    </row>
    <row r="50" spans="1:11">
      <c r="B50" s="22"/>
      <c r="C50" s="22"/>
    </row>
    <row r="51" spans="1:11">
      <c r="B51" s="22"/>
      <c r="C51" s="22"/>
    </row>
    <row r="52" spans="1:11">
      <c r="B52" s="22"/>
      <c r="C52" s="22"/>
    </row>
    <row r="53" spans="1:11">
      <c r="B53" s="22"/>
      <c r="C53" s="22"/>
    </row>
    <row r="54" spans="1:11">
      <c r="B54" s="22"/>
      <c r="C54" s="22"/>
    </row>
    <row r="55" spans="1:11">
      <c r="B55" s="22"/>
      <c r="C55" s="22"/>
      <c r="K55" s="7"/>
    </row>
    <row r="56" spans="1:11">
      <c r="A56" s="3"/>
      <c r="B56" s="22"/>
      <c r="C56" s="22"/>
      <c r="K56" s="7"/>
    </row>
    <row r="57" spans="1:11">
      <c r="B57" s="22"/>
      <c r="C57" s="22"/>
      <c r="K57" s="7"/>
    </row>
    <row r="58" spans="1:11">
      <c r="A58" s="2"/>
      <c r="B58" s="22"/>
      <c r="C58" s="22"/>
      <c r="K58" s="7"/>
    </row>
    <row r="59" spans="1:11">
      <c r="B59" s="22"/>
      <c r="C59" s="22"/>
      <c r="K59" s="7"/>
    </row>
    <row r="60" spans="1:11">
      <c r="B60" s="22"/>
      <c r="C60" s="22"/>
      <c r="K60" s="7"/>
    </row>
    <row r="61" spans="1:11">
      <c r="B61" s="22"/>
      <c r="C61" s="22"/>
      <c r="K61" s="7"/>
    </row>
    <row r="62" spans="1:11">
      <c r="A62" s="3"/>
      <c r="B62" s="22"/>
      <c r="C62" s="22"/>
      <c r="K62" s="7"/>
    </row>
    <row r="63" spans="1:11">
      <c r="B63" s="22"/>
      <c r="C63" s="22"/>
      <c r="K63" s="7"/>
    </row>
    <row r="64" spans="1:11">
      <c r="A64" s="2"/>
      <c r="B64" s="22"/>
      <c r="C64" s="22"/>
      <c r="K64" s="7"/>
    </row>
    <row r="65" spans="1:11">
      <c r="B65" s="22"/>
      <c r="C65" s="22"/>
      <c r="K65" s="7"/>
    </row>
    <row r="66" spans="1:11">
      <c r="A66" s="3"/>
      <c r="B66" s="22"/>
      <c r="C66" s="22"/>
      <c r="K66" s="7"/>
    </row>
    <row r="67" spans="1:11">
      <c r="B67" s="22"/>
      <c r="C67" s="22"/>
      <c r="K67" s="7"/>
    </row>
    <row r="68" spans="1:11">
      <c r="A68" s="2"/>
      <c r="B68" s="22"/>
      <c r="C68" s="22"/>
      <c r="I68" s="9"/>
      <c r="K68" s="7"/>
    </row>
    <row r="69" spans="1:11">
      <c r="B69" s="22"/>
      <c r="C69" s="22"/>
      <c r="K69" s="7"/>
    </row>
    <row r="70" spans="1:11">
      <c r="B70" s="22"/>
      <c r="C70" s="22"/>
      <c r="K70" s="7"/>
    </row>
    <row r="71" spans="1:11">
      <c r="A71" s="3"/>
      <c r="B71" s="22"/>
      <c r="C71" s="22"/>
      <c r="K71" s="7"/>
    </row>
    <row r="72" spans="1:11">
      <c r="B72" s="22"/>
      <c r="C72" s="22"/>
      <c r="K72" s="7"/>
    </row>
    <row r="73" spans="1:11">
      <c r="A73" s="2"/>
      <c r="B73" s="22"/>
      <c r="C73" s="22"/>
      <c r="K73" s="7"/>
    </row>
    <row r="74" spans="1:11">
      <c r="B74" s="22"/>
      <c r="C74" s="22"/>
      <c r="K74" s="7"/>
    </row>
    <row r="75" spans="1:11">
      <c r="B75" s="22"/>
      <c r="C75" s="22"/>
      <c r="K75" s="7"/>
    </row>
    <row r="76" spans="1:11">
      <c r="A76" s="3"/>
      <c r="B76" s="22"/>
      <c r="C76" s="22"/>
      <c r="K76" s="7"/>
    </row>
    <row r="77" spans="1:11">
      <c r="B77" s="22"/>
      <c r="C77" s="22"/>
      <c r="K77" s="7"/>
    </row>
    <row r="78" spans="1:11">
      <c r="B78" s="22"/>
      <c r="C78" s="22"/>
      <c r="K78" s="7"/>
    </row>
    <row r="79" spans="1:11">
      <c r="B79" s="22"/>
      <c r="C79" s="22"/>
      <c r="K79" s="7"/>
    </row>
    <row r="80" spans="1:11">
      <c r="A80" s="3"/>
      <c r="B80" s="22"/>
      <c r="C80" s="22"/>
      <c r="K80" s="7"/>
    </row>
    <row r="81" spans="1:4">
      <c r="B81" s="22"/>
      <c r="C81" s="22"/>
    </row>
    <row r="82" spans="1:4" ht="15.75">
      <c r="A82" s="4"/>
    </row>
    <row r="83" spans="1:4" ht="15.75">
      <c r="A83" s="4"/>
    </row>
    <row r="84" spans="1:4" ht="15.75">
      <c r="A84" s="4"/>
    </row>
    <row r="95" spans="1:4">
      <c r="D95" s="7"/>
    </row>
    <row r="96" spans="1:4">
      <c r="D96" s="7"/>
    </row>
    <row r="97" spans="4:4">
      <c r="D97" s="7"/>
    </row>
    <row r="98" spans="4:4">
      <c r="D98" s="7"/>
    </row>
  </sheetData>
  <hyperlinks>
    <hyperlink ref="L6" r:id="rId1" location="toc6"/>
    <hyperlink ref="L18" r:id="rId2"/>
  </hyperlinks>
  <pageMargins left="0.70866141732283472" right="0.70866141732283472" top="0.74803149606299213" bottom="0.74803149606299213" header="0.31496062992125984" footer="0.31496062992125984"/>
  <pageSetup scale="61" orientation="landscape" verticalDpi="0" r:id="rId3"/>
  <legacyDrawing r:id="rId4"/>
</worksheet>
</file>

<file path=xl/worksheets/sheet2.xml><?xml version="1.0" encoding="utf-8"?>
<worksheet xmlns="http://schemas.openxmlformats.org/spreadsheetml/2006/main" xmlns:r="http://schemas.openxmlformats.org/officeDocument/2006/relationships">
  <sheetPr>
    <tabColor rgb="FFFF0000"/>
  </sheetPr>
  <dimension ref="A1:AB93"/>
  <sheetViews>
    <sheetView topLeftCell="A67" workbookViewId="0">
      <selection activeCell="A95" sqref="A95"/>
    </sheetView>
  </sheetViews>
  <sheetFormatPr defaultRowHeight="12.75"/>
  <cols>
    <col min="1" max="1" width="47.7109375" customWidth="1"/>
    <col min="2" max="2" width="10.140625" customWidth="1"/>
    <col min="3" max="3" width="2.7109375" customWidth="1"/>
    <col min="4" max="4" width="10.140625" customWidth="1"/>
    <col min="5" max="5" width="2.7109375" customWidth="1"/>
    <col min="7" max="7" width="10.140625" customWidth="1"/>
    <col min="8" max="8" width="2.7109375" customWidth="1"/>
    <col min="9" max="9" width="13.7109375" bestFit="1" customWidth="1"/>
    <col min="10" max="10" width="10.140625" customWidth="1"/>
    <col min="11" max="11" width="13.7109375" bestFit="1" customWidth="1"/>
    <col min="12" max="12" width="10.140625" customWidth="1"/>
    <col min="13" max="17" width="13.7109375" customWidth="1"/>
    <col min="18" max="20" width="12.7109375" customWidth="1"/>
    <col min="21" max="21" width="12.5703125" bestFit="1" customWidth="1"/>
    <col min="22" max="22" width="10.140625" bestFit="1" customWidth="1"/>
    <col min="23" max="24" width="10.140625" customWidth="1"/>
  </cols>
  <sheetData>
    <row r="1" spans="1:28" ht="16.5">
      <c r="A1" s="69" t="s">
        <v>245</v>
      </c>
      <c r="B1" s="70"/>
    </row>
    <row r="2" spans="1:28" ht="16.5">
      <c r="A2" s="70"/>
      <c r="B2" s="69" t="s">
        <v>539</v>
      </c>
    </row>
    <row r="3" spans="1:28" ht="15.75">
      <c r="B3" s="4"/>
    </row>
    <row r="4" spans="1:28">
      <c r="U4" s="224" t="s">
        <v>687</v>
      </c>
      <c r="V4" s="223"/>
      <c r="W4" s="223"/>
      <c r="X4" s="223"/>
    </row>
    <row r="5" spans="1:28" ht="15.75">
      <c r="B5" s="23" t="s">
        <v>58</v>
      </c>
      <c r="C5" s="23"/>
      <c r="D5" s="23" t="s">
        <v>104</v>
      </c>
      <c r="E5" s="23"/>
      <c r="F5" s="23" t="s">
        <v>242</v>
      </c>
      <c r="G5" s="23" t="s">
        <v>181</v>
      </c>
      <c r="H5" s="23"/>
      <c r="I5" s="65" t="s">
        <v>170</v>
      </c>
      <c r="J5" s="23" t="s">
        <v>514</v>
      </c>
      <c r="K5" s="65" t="s">
        <v>170</v>
      </c>
      <c r="L5" s="23" t="s">
        <v>689</v>
      </c>
      <c r="M5" s="65" t="s">
        <v>170</v>
      </c>
      <c r="N5" s="23" t="s">
        <v>823</v>
      </c>
      <c r="O5" s="65" t="s">
        <v>170</v>
      </c>
      <c r="P5" s="23" t="s">
        <v>824</v>
      </c>
      <c r="Q5" s="65" t="s">
        <v>170</v>
      </c>
      <c r="U5" s="227" t="s">
        <v>716</v>
      </c>
      <c r="V5" s="227"/>
      <c r="W5" s="227"/>
      <c r="X5" s="227"/>
      <c r="Y5" s="227" t="s">
        <v>688</v>
      </c>
      <c r="Z5" s="235"/>
      <c r="AA5" s="235"/>
      <c r="AB5" s="235"/>
    </row>
    <row r="6" spans="1:28" ht="15.75">
      <c r="B6" s="66" t="s">
        <v>16</v>
      </c>
      <c r="C6" s="66"/>
      <c r="D6" s="66" t="s">
        <v>16</v>
      </c>
      <c r="E6" s="66"/>
      <c r="F6" s="67" t="s">
        <v>241</v>
      </c>
      <c r="G6" s="66" t="s">
        <v>16</v>
      </c>
      <c r="H6" s="66"/>
      <c r="I6" s="68" t="s">
        <v>240</v>
      </c>
      <c r="J6" s="66" t="s">
        <v>16</v>
      </c>
      <c r="K6" s="68" t="s">
        <v>240</v>
      </c>
      <c r="L6" s="66" t="s">
        <v>16</v>
      </c>
      <c r="M6" s="68" t="s">
        <v>240</v>
      </c>
      <c r="N6" s="66" t="s">
        <v>16</v>
      </c>
      <c r="O6" s="68" t="s">
        <v>240</v>
      </c>
      <c r="P6" s="66" t="s">
        <v>16</v>
      </c>
      <c r="Q6" s="68" t="s">
        <v>240</v>
      </c>
      <c r="U6" s="227">
        <v>2005</v>
      </c>
      <c r="V6" s="227">
        <v>2010</v>
      </c>
      <c r="W6" s="227">
        <v>2011</v>
      </c>
      <c r="X6" s="227">
        <v>2013</v>
      </c>
      <c r="Y6" s="235"/>
      <c r="Z6" s="235"/>
      <c r="AA6" s="235"/>
      <c r="AB6" s="235"/>
    </row>
    <row r="7" spans="1:28" ht="42" customHeight="1">
      <c r="U7" s="231">
        <v>32242364</v>
      </c>
      <c r="V7" s="231">
        <v>34005274</v>
      </c>
      <c r="W7" s="231">
        <v>34342780</v>
      </c>
      <c r="X7" s="231">
        <v>35155499</v>
      </c>
      <c r="Y7" s="320" t="s">
        <v>917</v>
      </c>
      <c r="Z7" s="320"/>
      <c r="AA7" s="320"/>
      <c r="AB7" s="235"/>
    </row>
    <row r="8" spans="1:28" ht="15.75">
      <c r="A8" s="4" t="s">
        <v>11</v>
      </c>
      <c r="U8" s="224"/>
      <c r="V8" s="224"/>
      <c r="W8" s="224"/>
      <c r="X8" s="224"/>
      <c r="Y8" s="2" t="s">
        <v>170</v>
      </c>
    </row>
    <row r="9" spans="1:28">
      <c r="A9" t="s">
        <v>0</v>
      </c>
      <c r="B9" s="9">
        <f>'Disability $ details 05-06'!B6</f>
        <v>540</v>
      </c>
      <c r="C9" s="9"/>
      <c r="D9" s="9">
        <f>'CAN Dis $ details 08-09'!B6</f>
        <v>635</v>
      </c>
      <c r="E9" s="9"/>
      <c r="F9" s="6"/>
      <c r="G9" s="102">
        <f>'CAN Disability details 09-10'!B6</f>
        <v>620</v>
      </c>
      <c r="H9" s="102"/>
      <c r="I9" s="129">
        <f t="shared" ref="I9:I15" si="0">(G9-B9)/B9</f>
        <v>0.14814814814814814</v>
      </c>
      <c r="J9" s="9">
        <f>'CAN Disability details 10-11'!B6</f>
        <v>650</v>
      </c>
      <c r="K9" s="29">
        <f>(J9-B9)/B9</f>
        <v>0.20370370370370369</v>
      </c>
      <c r="L9" s="9">
        <f>'CAN Disability details 11-12'!B6</f>
        <v>675</v>
      </c>
      <c r="M9" s="29">
        <f>(L9-B9)/B9</f>
        <v>0.25</v>
      </c>
      <c r="N9" s="19">
        <f>'CAN Disability details 12-13'!B6</f>
        <v>690</v>
      </c>
      <c r="O9" s="29"/>
      <c r="P9" s="9">
        <f>'CAN Disability detailes 13-14'!B6</f>
        <v>720</v>
      </c>
      <c r="Q9" s="29"/>
      <c r="U9" s="225"/>
      <c r="V9" s="225"/>
      <c r="W9" s="225"/>
      <c r="X9" s="225"/>
      <c r="Y9" s="252"/>
      <c r="Z9" s="252"/>
    </row>
    <row r="10" spans="1:28">
      <c r="A10" t="s">
        <v>1</v>
      </c>
      <c r="B10" s="9">
        <f>'Disability $ details 05-06'!B7</f>
        <v>875</v>
      </c>
      <c r="C10" s="9"/>
      <c r="D10" s="9">
        <f>'CAN Dis $ details 08-09'!B7</f>
        <v>995</v>
      </c>
      <c r="E10" s="9"/>
      <c r="F10" s="6"/>
      <c r="G10" s="102">
        <f>'CAN Disability details 09-10'!B7</f>
        <v>1000</v>
      </c>
      <c r="H10" s="9"/>
      <c r="I10" s="129">
        <f t="shared" si="0"/>
        <v>0.14285714285714285</v>
      </c>
      <c r="J10" s="9">
        <f>'CAN Disability details 10-11'!B7</f>
        <v>1080</v>
      </c>
      <c r="K10" s="29">
        <f t="shared" ref="K10:K16" si="1">(J10-B10)/B10</f>
        <v>0.23428571428571429</v>
      </c>
      <c r="L10" s="9">
        <f>'CAN Disability details 11-12'!B7</f>
        <v>1135</v>
      </c>
      <c r="M10" s="29">
        <f>(L10-B10)/B10</f>
        <v>0.29714285714285715</v>
      </c>
      <c r="N10" s="19">
        <f>'CAN Disability details 12-13'!B7</f>
        <v>1200</v>
      </c>
      <c r="O10" s="29"/>
      <c r="P10" s="9">
        <f>'CAN Disability detailes 13-14'!B7</f>
        <v>1295</v>
      </c>
      <c r="Q10" s="29"/>
      <c r="U10" s="224"/>
      <c r="V10" s="224"/>
      <c r="W10" s="224"/>
      <c r="X10" s="224"/>
      <c r="Y10" s="29"/>
    </row>
    <row r="11" spans="1:28">
      <c r="A11" t="s">
        <v>14</v>
      </c>
      <c r="B11" s="9">
        <f>'Disability $ details 05-06'!B8</f>
        <v>85</v>
      </c>
      <c r="C11" s="9"/>
      <c r="D11" s="9">
        <f>'CAN Dis $ details 08-09'!B8</f>
        <v>90</v>
      </c>
      <c r="E11" s="9"/>
      <c r="F11" s="6"/>
      <c r="G11" s="102">
        <f>'CAN Disability details 09-10'!B8</f>
        <v>97</v>
      </c>
      <c r="H11" s="9"/>
      <c r="I11" s="129">
        <f t="shared" si="0"/>
        <v>0.14117647058823529</v>
      </c>
      <c r="J11" s="9">
        <f>'CAN Disability details 10-11'!B8</f>
        <v>100</v>
      </c>
      <c r="K11" s="29">
        <f t="shared" si="1"/>
        <v>0.17647058823529413</v>
      </c>
      <c r="L11" s="9">
        <f>'CAN Disability details 11-12'!B8</f>
        <v>105</v>
      </c>
      <c r="M11" s="29">
        <f>(L11-B11)/B11</f>
        <v>0.23529411764705882</v>
      </c>
      <c r="N11" s="19">
        <f>'CAN Disability details 12-13'!B8</f>
        <v>105</v>
      </c>
      <c r="O11" s="29"/>
      <c r="P11" s="9">
        <f>'CAN Disability detailes 13-14'!B8</f>
        <v>110</v>
      </c>
      <c r="Q11" s="29"/>
      <c r="U11" s="224"/>
      <c r="V11" s="224"/>
      <c r="W11" s="224"/>
      <c r="X11" s="224"/>
      <c r="Y11" s="29"/>
    </row>
    <row r="12" spans="1:28">
      <c r="A12" t="s">
        <v>2</v>
      </c>
      <c r="B12" s="9">
        <f>'Disability $ details 05-06'!B9</f>
        <v>5</v>
      </c>
      <c r="C12" s="9"/>
      <c r="D12" s="9">
        <f>'CAN Dis $ details 08-09'!B9</f>
        <v>5</v>
      </c>
      <c r="E12" s="9"/>
      <c r="F12" s="6"/>
      <c r="G12" s="102">
        <f>'CAN Disability details 09-10'!B9</f>
        <v>5</v>
      </c>
      <c r="H12" s="9"/>
      <c r="I12" s="129">
        <f t="shared" si="0"/>
        <v>0</v>
      </c>
      <c r="J12" s="9">
        <f>'CAN Disability details 10-11'!B9</f>
        <v>5</v>
      </c>
      <c r="K12" s="29">
        <f t="shared" si="1"/>
        <v>0</v>
      </c>
      <c r="L12" s="9">
        <f>'CAN Disability details 11-12'!B9</f>
        <v>5</v>
      </c>
      <c r="M12" s="29">
        <f>(L12-B12)/B12</f>
        <v>0</v>
      </c>
      <c r="N12" s="19">
        <f>'CAN Disability details 12-13'!B9</f>
        <v>5</v>
      </c>
      <c r="O12" s="29"/>
      <c r="P12" s="9">
        <f>'CAN Disability detailes 13-14'!B9</f>
        <v>6</v>
      </c>
      <c r="Q12" s="29"/>
      <c r="U12" s="224"/>
      <c r="V12" s="224"/>
      <c r="W12" s="224"/>
      <c r="X12" s="224"/>
      <c r="Y12" s="29"/>
    </row>
    <row r="13" spans="1:28">
      <c r="A13" s="52" t="s">
        <v>273</v>
      </c>
      <c r="B13" s="9">
        <f>'Disability $ details 05-06'!B10</f>
        <v>0</v>
      </c>
      <c r="C13" s="9"/>
      <c r="D13" s="9">
        <f>'CAN Dis $ details 08-09'!B10</f>
        <v>0</v>
      </c>
      <c r="E13" s="9"/>
      <c r="F13" s="6"/>
      <c r="G13" s="102">
        <f>'CAN Disability details 09-10'!B10</f>
        <v>0</v>
      </c>
      <c r="H13" s="9"/>
      <c r="I13" s="129"/>
      <c r="J13" s="9">
        <f>'CAN Disability details 10-11'!B10</f>
        <v>0</v>
      </c>
      <c r="K13" s="29"/>
      <c r="L13" s="9"/>
      <c r="M13" s="29"/>
      <c r="N13" s="19">
        <f>'CAN Disability details 12-13'!B10</f>
        <v>0</v>
      </c>
      <c r="O13" s="29"/>
      <c r="P13" s="9">
        <f>'CAN Disability detailes 13-14'!B10</f>
        <v>0</v>
      </c>
      <c r="Q13" s="29"/>
      <c r="U13" s="224"/>
      <c r="V13" s="224"/>
      <c r="W13" s="224"/>
      <c r="X13" s="224"/>
      <c r="Y13" s="29"/>
    </row>
    <row r="14" spans="1:28">
      <c r="A14" t="s">
        <v>3</v>
      </c>
      <c r="B14" s="9">
        <f>'Disability $ details 05-06'!B11</f>
        <v>115</v>
      </c>
      <c r="C14" s="9"/>
      <c r="D14" s="9">
        <f>'CAN Dis $ details 08-09'!B11</f>
        <v>120</v>
      </c>
      <c r="E14" s="9"/>
      <c r="F14" s="6"/>
      <c r="G14" s="102">
        <f>'CAN Disability details 09-10'!B11</f>
        <v>130</v>
      </c>
      <c r="H14" s="9"/>
      <c r="I14" s="129">
        <f t="shared" si="0"/>
        <v>0.13043478260869565</v>
      </c>
      <c r="J14" s="9">
        <f>'CAN Disability details 10-11'!B11</f>
        <v>135</v>
      </c>
      <c r="K14" s="29">
        <f t="shared" si="1"/>
        <v>0.17391304347826086</v>
      </c>
      <c r="L14" s="9">
        <f>'CAN Disability details 11-12'!B11</f>
        <v>135</v>
      </c>
      <c r="M14" s="29">
        <f>(L14-B14)/B14</f>
        <v>0.17391304347826086</v>
      </c>
      <c r="N14" s="19">
        <f>'CAN Disability details 12-13'!B11</f>
        <v>140</v>
      </c>
      <c r="O14" s="29"/>
      <c r="P14" s="9">
        <f>'CAN Disability detailes 13-14'!B11</f>
        <v>145</v>
      </c>
      <c r="Q14" s="29"/>
      <c r="U14" s="224"/>
      <c r="V14" s="224"/>
      <c r="W14" s="224"/>
      <c r="X14" s="224"/>
      <c r="Y14" s="29"/>
    </row>
    <row r="15" spans="1:28">
      <c r="A15" t="s">
        <v>15</v>
      </c>
      <c r="B15" s="9">
        <f>'Disability $ details 05-06'!B12</f>
        <v>90</v>
      </c>
      <c r="C15" s="9"/>
      <c r="D15" s="9">
        <f>'CAN Dis $ details 08-09'!B12</f>
        <v>160.9</v>
      </c>
      <c r="E15" s="9"/>
      <c r="F15" s="6"/>
      <c r="G15" s="102">
        <v>196.5</v>
      </c>
      <c r="H15" s="9" t="s">
        <v>237</v>
      </c>
      <c r="I15" s="129">
        <f t="shared" si="0"/>
        <v>1.1833333333333333</v>
      </c>
      <c r="J15" s="9">
        <f>'CAN Disability details 10-11'!B12</f>
        <v>220.4</v>
      </c>
      <c r="K15" s="29">
        <f t="shared" si="1"/>
        <v>1.4488888888888889</v>
      </c>
      <c r="L15" s="9">
        <f>'CAN Disability details 11-12'!B12</f>
        <v>253.45999999999998</v>
      </c>
      <c r="M15" s="29">
        <f>(L15-B15)/B15</f>
        <v>1.816222222222222</v>
      </c>
      <c r="N15" s="19">
        <f>'CAN Disability details 12-13'!B12</f>
        <v>264.48</v>
      </c>
      <c r="O15" s="29"/>
      <c r="P15" s="9">
        <f>'CAN Disability detailes 13-14'!B12</f>
        <v>245.625</v>
      </c>
      <c r="Q15" s="29"/>
      <c r="U15" s="224"/>
      <c r="V15" s="224"/>
      <c r="W15" s="224"/>
      <c r="X15" s="224"/>
      <c r="Y15" s="29"/>
    </row>
    <row r="16" spans="1:28">
      <c r="A16" s="61" t="s">
        <v>24</v>
      </c>
      <c r="B16" s="62">
        <f>SUM(B9:B15)</f>
        <v>1710</v>
      </c>
      <c r="C16" s="62"/>
      <c r="D16" s="62">
        <f>SUM(D9:D15)</f>
        <v>2005.9</v>
      </c>
      <c r="E16" s="62"/>
      <c r="F16" s="63">
        <f>(D16-B16)/B16</f>
        <v>0.17304093567251466</v>
      </c>
      <c r="G16" s="62">
        <f>SUM(G9:G15)</f>
        <v>2048.5</v>
      </c>
      <c r="H16" s="62" t="s">
        <v>237</v>
      </c>
      <c r="I16" s="63">
        <f>(G16-B16)/B16</f>
        <v>0.19795321637426899</v>
      </c>
      <c r="J16" s="62">
        <f>SUM(J9:J15)</f>
        <v>2190.4</v>
      </c>
      <c r="K16" s="63">
        <f t="shared" si="1"/>
        <v>0.28093567251461993</v>
      </c>
      <c r="L16" s="62">
        <f>SUM(L9:L15)</f>
        <v>2308.46</v>
      </c>
      <c r="M16" s="29">
        <f>(L16-B16)/B16</f>
        <v>0.3499766081871345</v>
      </c>
      <c r="N16" s="19">
        <f>'CAN Disability details 12-13'!B13</f>
        <v>2404.48</v>
      </c>
      <c r="O16" s="29">
        <f>(N16-B16)/B16</f>
        <v>0.40612865497076023</v>
      </c>
      <c r="P16" s="9">
        <f>'CAN Disability detailes 13-14'!B13</f>
        <v>2521.625</v>
      </c>
      <c r="Q16" s="29">
        <f>(P16-B16)/B16</f>
        <v>0.47463450292397663</v>
      </c>
      <c r="U16" s="225">
        <f>B16*1000000/$U$7</f>
        <v>53.035813378944546</v>
      </c>
      <c r="V16" s="225">
        <f>J16*1000000/$V$7</f>
        <v>64.413537735352463</v>
      </c>
      <c r="W16" s="225">
        <f>L16*1000000/$W$7</f>
        <v>67.218204233903023</v>
      </c>
      <c r="X16" s="225">
        <f>P16*1000000/$X$7</f>
        <v>71.727754454573386</v>
      </c>
      <c r="Y16" s="29">
        <f>(X16-U16)/U16</f>
        <v>0.35243998130232551</v>
      </c>
      <c r="Z16" s="29"/>
    </row>
    <row r="17" spans="1:26">
      <c r="B17" s="9"/>
      <c r="C17" s="9"/>
      <c r="D17" s="9"/>
      <c r="E17" s="9"/>
      <c r="F17" s="6"/>
      <c r="G17" s="9"/>
      <c r="H17" s="9"/>
      <c r="I17" s="57"/>
      <c r="J17" s="9"/>
      <c r="L17" s="9"/>
      <c r="N17" s="19"/>
      <c r="P17" s="9"/>
      <c r="U17" s="225"/>
      <c r="V17" s="225"/>
      <c r="W17" s="225"/>
      <c r="X17" s="225"/>
      <c r="Y17" s="29"/>
    </row>
    <row r="18" spans="1:26" ht="15.75">
      <c r="A18" s="4" t="s">
        <v>4</v>
      </c>
      <c r="B18" s="9"/>
      <c r="C18" s="9"/>
      <c r="D18" s="9"/>
      <c r="E18" s="9"/>
      <c r="F18" s="6"/>
      <c r="G18" s="9"/>
      <c r="H18" s="9"/>
      <c r="I18" s="57"/>
      <c r="J18" s="9"/>
      <c r="L18" s="9"/>
      <c r="N18" s="19"/>
      <c r="P18" s="9"/>
      <c r="U18" s="225"/>
      <c r="V18" s="225"/>
      <c r="W18" s="225"/>
      <c r="X18" s="225"/>
      <c r="Y18" s="29"/>
    </row>
    <row r="19" spans="1:26">
      <c r="A19" t="s">
        <v>5</v>
      </c>
      <c r="B19" s="9">
        <f>'Disability $ details 05-06'!B16</f>
        <v>3127</v>
      </c>
      <c r="C19" s="9"/>
      <c r="D19" s="9">
        <f>'CAN Dis $ details 08-09'!B16</f>
        <v>3326</v>
      </c>
      <c r="E19" s="9"/>
      <c r="F19" s="6"/>
      <c r="G19" s="9">
        <f>'CAN Disability details 09-10'!B16</f>
        <v>3513</v>
      </c>
      <c r="H19" s="9"/>
      <c r="I19" s="57">
        <f>(G19-B19)/B19</f>
        <v>0.12344099776143268</v>
      </c>
      <c r="J19" s="9">
        <f>'CAN Disability details 10-11'!B16</f>
        <v>3679</v>
      </c>
      <c r="K19" s="29">
        <f>(J19-B19)/B19</f>
        <v>0.17652702270546849</v>
      </c>
      <c r="L19" s="9">
        <f>'CAN Disability details 11-12'!B16</f>
        <v>3888</v>
      </c>
      <c r="M19" s="29">
        <f>(L19-B19)/B19</f>
        <v>0.24336424688199551</v>
      </c>
      <c r="N19" s="19">
        <f>'CAN Disability details 12-13'!B16</f>
        <v>3948</v>
      </c>
      <c r="O19" s="29">
        <f>(N19-B19)/B19</f>
        <v>0.26255196674128556</v>
      </c>
      <c r="P19" s="9">
        <f>'CAN Disability detailes 13-14'!B16</f>
        <v>4002</v>
      </c>
      <c r="Q19" s="29">
        <f>(P19-B19)/B19</f>
        <v>0.27982091461464664</v>
      </c>
      <c r="U19" s="225">
        <f>B19*1000000/$U$7</f>
        <v>96.984203763719066</v>
      </c>
      <c r="V19" s="225">
        <f>J19*1000000/$V$7</f>
        <v>108.18910031426302</v>
      </c>
      <c r="W19" s="225">
        <f>L19*1000000/$W$7</f>
        <v>113.21156877806631</v>
      </c>
      <c r="X19" s="225">
        <f>P19*1000000/$X$7</f>
        <v>113.83709842946618</v>
      </c>
      <c r="Y19" s="29">
        <f t="shared" ref="Y19:Y45" si="2">(X19-U19)/U19</f>
        <v>0.1737694800980738</v>
      </c>
      <c r="Z19" s="29"/>
    </row>
    <row r="20" spans="1:26">
      <c r="A20" t="s">
        <v>69</v>
      </c>
      <c r="B20" s="9">
        <f>'Disability $ details 05-06'!B17</f>
        <v>652.79999999999995</v>
      </c>
      <c r="C20" s="9"/>
      <c r="D20" s="9">
        <f>'CAN Dis $ details 08-09'!B17</f>
        <v>722</v>
      </c>
      <c r="E20" s="9"/>
      <c r="F20" s="6"/>
      <c r="G20" s="9">
        <f>'CAN Disability details 09-10'!B17</f>
        <v>749.4</v>
      </c>
      <c r="H20" s="9"/>
      <c r="I20" s="57">
        <f>(G20-B20)/B20</f>
        <v>0.14797794117647065</v>
      </c>
      <c r="J20" s="9">
        <f>'CAN Disability details 10-11'!B17</f>
        <v>756</v>
      </c>
      <c r="K20" s="29">
        <f>(J20-B20)/B20</f>
        <v>0.15808823529411772</v>
      </c>
      <c r="L20" s="9">
        <f>'CAN Disability details 11-12'!B17</f>
        <v>755.4</v>
      </c>
      <c r="M20" s="29">
        <f>(L20-B20)/B20</f>
        <v>0.15716911764705888</v>
      </c>
      <c r="N20" s="19">
        <f>'CAN Disability details 12-13'!B17</f>
        <v>779.1</v>
      </c>
      <c r="O20" s="29">
        <f>(N20-B20)/B20</f>
        <v>0.19347426470588247</v>
      </c>
      <c r="P20" s="9">
        <f>'CAN Disability detailes 13-14'!B17</f>
        <v>764.8</v>
      </c>
      <c r="Q20" s="29">
        <f>(P20-B20)/B20</f>
        <v>0.17156862745098039</v>
      </c>
      <c r="U20" s="225"/>
      <c r="V20" s="225"/>
      <c r="W20" s="225"/>
      <c r="X20" s="225"/>
      <c r="Y20" s="29"/>
    </row>
    <row r="21" spans="1:26">
      <c r="A21" t="s">
        <v>6</v>
      </c>
      <c r="B21" s="9">
        <f>'Disability $ details 05-06'!B18</f>
        <v>859.2</v>
      </c>
      <c r="C21" s="9"/>
      <c r="D21" s="9">
        <f>'CAN Dis $ details 08-09'!B18</f>
        <v>1008.8</v>
      </c>
      <c r="E21" s="9"/>
      <c r="F21" s="6"/>
      <c r="G21" s="9">
        <f>'CAN Disability details 09-10'!B18</f>
        <v>1075.2</v>
      </c>
      <c r="H21" s="9"/>
      <c r="I21" s="57">
        <f>(G21-B21)/B21</f>
        <v>0.25139664804469275</v>
      </c>
      <c r="J21" s="9">
        <f>'CAN Disability details 10-11'!B18</f>
        <v>1066</v>
      </c>
      <c r="K21" s="29">
        <f>(J21-B21)/B21</f>
        <v>0.24068901303538168</v>
      </c>
      <c r="L21" s="9">
        <f>'CAN Disability details 11-12'!B18</f>
        <v>1117.3</v>
      </c>
      <c r="M21" s="29">
        <f>(L21-B21)/B21</f>
        <v>0.30039571694599615</v>
      </c>
      <c r="N21" s="19">
        <f>'CAN Disability details 12-13'!B18</f>
        <v>1191</v>
      </c>
      <c r="O21" s="29">
        <f>(N21-B21)/B21</f>
        <v>0.38617318435754183</v>
      </c>
      <c r="P21" s="9">
        <f>'CAN Disability detailes 13-14'!B18</f>
        <v>1276.8</v>
      </c>
      <c r="Q21" s="29">
        <f>(P21-B21)/B21</f>
        <v>0.4860335195530725</v>
      </c>
      <c r="U21" s="225">
        <f>B21*1000000/$U$7</f>
        <v>26.64817009075389</v>
      </c>
      <c r="V21" s="225">
        <f>J21*1000000/$V$7</f>
        <v>31.348078536288224</v>
      </c>
      <c r="W21" s="225">
        <f>L21*1000000/$W$7</f>
        <v>32.533766922770958</v>
      </c>
      <c r="X21" s="225">
        <f>P21*1000000/$X$7</f>
        <v>36.31864249743689</v>
      </c>
      <c r="Y21" s="29">
        <f t="shared" si="2"/>
        <v>0.36289442666227811</v>
      </c>
      <c r="Z21" s="29"/>
    </row>
    <row r="22" spans="1:26">
      <c r="A22" s="61" t="s">
        <v>24</v>
      </c>
      <c r="B22" s="62">
        <f>SUM(B19:B21)</f>
        <v>4639</v>
      </c>
      <c r="C22" s="62"/>
      <c r="D22" s="62">
        <f>SUM(D19:D21)</f>
        <v>5056.8</v>
      </c>
      <c r="E22" s="62"/>
      <c r="F22" s="63">
        <f>(D22-B22)/B22</f>
        <v>9.0062513472731226E-2</v>
      </c>
      <c r="G22" s="62">
        <f>SUM(G19:G21)</f>
        <v>5337.5999999999995</v>
      </c>
      <c r="H22" s="62"/>
      <c r="I22" s="63">
        <f>(G22-B22)/B22</f>
        <v>0.15059280017245083</v>
      </c>
      <c r="J22" s="62">
        <f>SUM(J19:J21)</f>
        <v>5501</v>
      </c>
      <c r="K22" s="63">
        <f>(J22-B22)/B22</f>
        <v>0.18581590860099159</v>
      </c>
      <c r="L22" s="62">
        <f>SUM(L19:L21)</f>
        <v>5760.7</v>
      </c>
      <c r="M22" s="29">
        <f>(L22-B22)/B22</f>
        <v>0.24179780125026942</v>
      </c>
      <c r="N22" s="298">
        <f>SUM(N19:N21)</f>
        <v>5918.1</v>
      </c>
      <c r="O22" s="29">
        <f>(N22-B22)/B22</f>
        <v>0.27572752748437174</v>
      </c>
      <c r="P22" s="9">
        <f>SUM(P19:P21)</f>
        <v>6043.6</v>
      </c>
      <c r="Q22" s="29">
        <f>(P22-B22)/B22</f>
        <v>0.30278077171804274</v>
      </c>
      <c r="U22" s="225"/>
      <c r="V22" s="225"/>
      <c r="W22" s="225"/>
      <c r="X22" s="225"/>
      <c r="Y22" s="29"/>
    </row>
    <row r="23" spans="1:26">
      <c r="B23" s="9"/>
      <c r="C23" s="9"/>
      <c r="D23" s="9"/>
      <c r="E23" s="9"/>
      <c r="F23" s="6"/>
      <c r="G23" s="9"/>
      <c r="H23" s="9"/>
      <c r="I23" s="57"/>
      <c r="J23" s="9"/>
      <c r="L23" s="9"/>
      <c r="N23" s="19"/>
      <c r="P23" s="9"/>
      <c r="U23" s="225"/>
      <c r="V23" s="225"/>
      <c r="W23" s="225"/>
      <c r="X23" s="225"/>
      <c r="Y23" s="29"/>
    </row>
    <row r="24" spans="1:26" ht="15.75">
      <c r="A24" s="4" t="s">
        <v>99</v>
      </c>
      <c r="B24" s="9"/>
      <c r="C24" s="9"/>
      <c r="D24" s="9"/>
      <c r="E24" s="9"/>
      <c r="F24" s="6"/>
      <c r="G24" s="9"/>
      <c r="H24" s="9"/>
      <c r="I24" s="57"/>
      <c r="J24" s="9"/>
      <c r="L24" s="9"/>
      <c r="N24" s="19"/>
      <c r="P24" s="9"/>
      <c r="U24" s="225"/>
      <c r="V24" s="225"/>
      <c r="W24" s="225"/>
      <c r="X24" s="225"/>
      <c r="Y24" s="29"/>
    </row>
    <row r="25" spans="1:26">
      <c r="A25" t="s">
        <v>100</v>
      </c>
      <c r="B25" s="9">
        <f>'Disability $ details 05-06'!B22</f>
        <v>1656</v>
      </c>
      <c r="C25" s="9"/>
      <c r="D25" s="9">
        <f>'CAN Dis $ details 08-09'!B22</f>
        <v>1973.9</v>
      </c>
      <c r="E25" s="9"/>
      <c r="F25" s="6"/>
      <c r="G25" s="9">
        <f>'CAN Disability details 09-10'!B22</f>
        <v>2030.2</v>
      </c>
      <c r="H25" s="9"/>
      <c r="I25" s="57">
        <f>(G25-B25)/B25</f>
        <v>0.22596618357487924</v>
      </c>
      <c r="J25" s="9">
        <f>'CAN Disability details 10-11'!B22</f>
        <v>2117.7999999999997</v>
      </c>
      <c r="K25" s="29">
        <f>(J25-B25)/B25</f>
        <v>0.27886473429951675</v>
      </c>
      <c r="L25" s="9">
        <f>'CAN Disability details 11-12'!B24</f>
        <v>2054.6999999999998</v>
      </c>
      <c r="M25" s="29">
        <f>(L25-B25)/B25</f>
        <v>0.24076086956521728</v>
      </c>
      <c r="N25" s="19">
        <f>'CAN Disability details 12-13'!B24</f>
        <v>2062.1999999999998</v>
      </c>
      <c r="O25" s="29"/>
      <c r="P25" s="9">
        <f>'CAN Disability detailes 13-14'!B24</f>
        <v>2024.3000000000002</v>
      </c>
      <c r="Q25" s="29"/>
      <c r="U25" s="225">
        <f>B25*1000000/$U$7</f>
        <v>51.360998219609456</v>
      </c>
      <c r="V25" s="225">
        <f>J25*1000000/$V$7</f>
        <v>62.278574788134328</v>
      </c>
      <c r="W25" s="225">
        <f>L25*1000000/$W$7</f>
        <v>59.829169333408643</v>
      </c>
      <c r="X25" s="225">
        <f>P25*1000000/$X$7</f>
        <v>57.581318928227994</v>
      </c>
      <c r="Y25" s="29">
        <f t="shared" si="2"/>
        <v>0.12110980947102465</v>
      </c>
      <c r="Z25" s="29"/>
    </row>
    <row r="26" spans="1:26">
      <c r="A26" s="61" t="s">
        <v>24</v>
      </c>
      <c r="B26" s="62">
        <f>SUM(B25)</f>
        <v>1656</v>
      </c>
      <c r="C26" s="62"/>
      <c r="D26" s="62">
        <f>SUM(D25)</f>
        <v>1973.9</v>
      </c>
      <c r="E26" s="62"/>
      <c r="F26" s="63">
        <f>(D26-B26)/B26</f>
        <v>0.19196859903381647</v>
      </c>
      <c r="G26" s="62">
        <f>SUM(G25)</f>
        <v>2030.2</v>
      </c>
      <c r="H26" s="62"/>
      <c r="I26" s="63">
        <f>(G26-B26)/B26</f>
        <v>0.22596618357487924</v>
      </c>
      <c r="J26" s="62">
        <f>SUM(J25)</f>
        <v>2117.7999999999997</v>
      </c>
      <c r="K26" s="63">
        <f>(J26-B26)/B26</f>
        <v>0.27886473429951675</v>
      </c>
      <c r="L26" s="62">
        <f>SUM(L25)</f>
        <v>2054.6999999999998</v>
      </c>
      <c r="M26" s="29">
        <f>(L26-B26)/B26</f>
        <v>0.24076086956521728</v>
      </c>
      <c r="N26" s="19">
        <f>SUM(N25)</f>
        <v>2062.1999999999998</v>
      </c>
      <c r="O26" s="29">
        <f>(N26-B26)/B26</f>
        <v>0.24528985507246365</v>
      </c>
      <c r="P26" s="9">
        <f>SUM(P25)</f>
        <v>2024.3000000000002</v>
      </c>
      <c r="Q26" s="29">
        <f>(P26-B26)/B26</f>
        <v>0.22240338164251219</v>
      </c>
      <c r="U26" s="225"/>
      <c r="V26" s="225"/>
      <c r="W26" s="225"/>
      <c r="X26" s="225"/>
      <c r="Y26" s="29"/>
    </row>
    <row r="27" spans="1:26">
      <c r="B27" s="9"/>
      <c r="C27" s="9"/>
      <c r="D27" s="9"/>
      <c r="E27" s="9"/>
      <c r="F27" s="6"/>
      <c r="G27" s="9"/>
      <c r="H27" s="9"/>
      <c r="I27" s="57"/>
      <c r="J27" s="9"/>
      <c r="K27" s="29"/>
      <c r="L27" s="9"/>
      <c r="M27" s="29"/>
      <c r="N27" s="19"/>
      <c r="O27" s="29"/>
      <c r="P27" s="9"/>
      <c r="Q27" s="29"/>
      <c r="U27" s="225"/>
      <c r="V27" s="225"/>
      <c r="W27" s="225"/>
      <c r="X27" s="225"/>
      <c r="Y27" s="29"/>
    </row>
    <row r="28" spans="1:26" ht="15.75">
      <c r="A28" s="4" t="s">
        <v>18</v>
      </c>
      <c r="B28" s="9"/>
      <c r="C28" s="9"/>
      <c r="D28" s="9"/>
      <c r="E28" s="9"/>
      <c r="F28" s="6"/>
      <c r="G28" s="9"/>
      <c r="H28" s="9"/>
      <c r="I28" s="57"/>
      <c r="J28" s="9"/>
      <c r="K28" s="29"/>
      <c r="L28" s="9"/>
      <c r="M28" s="29"/>
      <c r="N28" s="19"/>
      <c r="O28" s="29"/>
      <c r="P28" s="9"/>
      <c r="Q28" s="29"/>
      <c r="U28" s="225"/>
      <c r="V28" s="225"/>
      <c r="W28" s="225"/>
      <c r="X28" s="225"/>
      <c r="Y28" s="29"/>
    </row>
    <row r="29" spans="1:26" ht="13.5" customHeight="1">
      <c r="A29" t="s">
        <v>17</v>
      </c>
      <c r="B29" s="181">
        <f>'Disability $ details 05-06'!B26</f>
        <v>5581.9300000000012</v>
      </c>
      <c r="C29" s="181"/>
      <c r="D29" s="154">
        <f>'CAN Dis $ details 08-09'!B26</f>
        <v>6262.9412500000017</v>
      </c>
      <c r="E29" s="181"/>
      <c r="F29" s="194"/>
      <c r="G29" s="154">
        <f>'CAN Disability details 09-10'!B26</f>
        <v>6930.3425000000007</v>
      </c>
      <c r="H29" s="154" t="s">
        <v>237</v>
      </c>
      <c r="I29" s="195">
        <f>(G29-B29)/B29</f>
        <v>0.24156743276966913</v>
      </c>
      <c r="J29" s="154">
        <f>'CAN Disability details 10-11'!B26</f>
        <v>7306.0619753086439</v>
      </c>
      <c r="K29" s="155">
        <f>(J29-B29)/B29</f>
        <v>0.30887739102938272</v>
      </c>
      <c r="L29" s="154">
        <f>'CAN Disability details 11-12'!B27</f>
        <v>7552.6472289156618</v>
      </c>
      <c r="M29" s="155">
        <f>(L29-B29)/B29</f>
        <v>0.35305301731043925</v>
      </c>
      <c r="N29" s="188">
        <f>'CAN Disability details 12-13'!B27</f>
        <v>8204.9533986013994</v>
      </c>
      <c r="O29" s="155">
        <f>(N29-B29)/B29</f>
        <v>0.46991334513356448</v>
      </c>
      <c r="P29" s="154">
        <f>'CAN Disability detailes 13-14'!B27</f>
        <v>8504.1418577878103</v>
      </c>
      <c r="Q29" s="155">
        <f>(P29-B29)/B29</f>
        <v>0.52351280968908753</v>
      </c>
      <c r="R29" s="303" t="s">
        <v>918</v>
      </c>
      <c r="S29" s="303"/>
      <c r="T29" s="304"/>
      <c r="U29" s="225">
        <f>B29*1000000/$U$7</f>
        <v>173.12409226569122</v>
      </c>
      <c r="V29" s="225">
        <f>J29*1000000/$V$7</f>
        <v>214.85084858627059</v>
      </c>
      <c r="W29" s="225">
        <f>L29*1000000/$W$7</f>
        <v>219.9195064847884</v>
      </c>
      <c r="X29" s="225">
        <f t="shared" ref="X29:X31" si="3">P29*1000000/$X$7</f>
        <v>241.90075805175772</v>
      </c>
      <c r="Y29" s="29">
        <f t="shared" si="2"/>
        <v>0.3972680225263846</v>
      </c>
      <c r="Z29" s="29"/>
    </row>
    <row r="30" spans="1:26" ht="15" customHeight="1">
      <c r="A30" t="s">
        <v>12</v>
      </c>
      <c r="B30" s="181">
        <f>'Disability $ details 05-06'!B27</f>
        <v>375.32</v>
      </c>
      <c r="C30" s="181"/>
      <c r="D30" s="154">
        <f>'CAN Dis $ details 08-09'!B27</f>
        <v>419.70500000000004</v>
      </c>
      <c r="E30" s="181"/>
      <c r="F30" s="194"/>
      <c r="G30" s="154">
        <f>'CAN Disability details 09-10'!B27</f>
        <v>441.65000000000003</v>
      </c>
      <c r="H30" s="154" t="s">
        <v>237</v>
      </c>
      <c r="I30" s="195">
        <f>(G30-B30)/B30</f>
        <v>0.17672919109026974</v>
      </c>
      <c r="J30" s="154">
        <f>'CAN Disability details 10-11'!B27</f>
        <v>451.00000000000006</v>
      </c>
      <c r="K30" s="155">
        <f>(J30-B30)/B30</f>
        <v>0.20164126611957814</v>
      </c>
      <c r="L30" s="154">
        <f>'CAN Disability details 11-12'!B28</f>
        <v>461.23000000000008</v>
      </c>
      <c r="M30" s="155">
        <f>(L30-B30)/B30</f>
        <v>0.22889800703399787</v>
      </c>
      <c r="N30" s="188">
        <f>'CAN Disability details 12-13'!B28</f>
        <v>490.65599999999995</v>
      </c>
      <c r="O30" s="155">
        <f>(N30-B30)/B30</f>
        <v>0.30730043696046028</v>
      </c>
      <c r="P30" s="154">
        <f>'CAN Disability detailes 13-14'!B28</f>
        <v>520.5687999999999</v>
      </c>
      <c r="Q30" s="155">
        <f>(P30-B30)/B30</f>
        <v>0.38699989342427771</v>
      </c>
      <c r="R30" s="303" t="s">
        <v>921</v>
      </c>
      <c r="S30" s="303"/>
      <c r="T30" s="304"/>
      <c r="U30" s="225">
        <f>B30*1000000/$U$7</f>
        <v>11.640585659289746</v>
      </c>
      <c r="V30" s="225">
        <f>J30*1000000/$V$7</f>
        <v>13.262648611506558</v>
      </c>
      <c r="W30" s="225">
        <f>L30*1000000/$W$7</f>
        <v>13.430188237527657</v>
      </c>
      <c r="X30" s="225">
        <f t="shared" si="3"/>
        <v>14.807606627913314</v>
      </c>
      <c r="Y30" s="29">
        <f t="shared" si="2"/>
        <v>0.27206715034102541</v>
      </c>
      <c r="Z30" s="29"/>
    </row>
    <row r="31" spans="1:26" ht="15" customHeight="1">
      <c r="A31" s="61" t="s">
        <v>24</v>
      </c>
      <c r="B31" s="183">
        <f>SUM(B29:B30)</f>
        <v>5957.2500000000009</v>
      </c>
      <c r="C31" s="183"/>
      <c r="D31" s="183">
        <f>SUM(D29:D30)</f>
        <v>6682.6462500000016</v>
      </c>
      <c r="E31" s="183"/>
      <c r="F31" s="195">
        <f>(D31-B31)/B31</f>
        <v>0.12176696462293854</v>
      </c>
      <c r="G31" s="183">
        <f>SUM(G29:G30)</f>
        <v>7371.9925000000003</v>
      </c>
      <c r="H31" s="183" t="s">
        <v>237</v>
      </c>
      <c r="I31" s="195">
        <f>(G31-B31)/B31</f>
        <v>0.23748247933190636</v>
      </c>
      <c r="J31" s="183">
        <f>SUM(J29:J30)</f>
        <v>7757.0619753086439</v>
      </c>
      <c r="K31" s="155">
        <f>(J31-B31)/B31</f>
        <v>0.30212127664755428</v>
      </c>
      <c r="L31" s="174">
        <f>SUM(L29:L30)</f>
        <v>8013.8772289156623</v>
      </c>
      <c r="M31" s="155">
        <f>(L31-B31)/B31</f>
        <v>0.34523097551985582</v>
      </c>
      <c r="N31" s="188">
        <f>SUM(N29:N30)</f>
        <v>8695.6093986013984</v>
      </c>
      <c r="O31" s="155">
        <f>(N31-B31)/B31</f>
        <v>0.45966837023817986</v>
      </c>
      <c r="P31" s="154">
        <f>SUM(P29:P30)</f>
        <v>9024.7106577878094</v>
      </c>
      <c r="Q31" s="155">
        <f>(P31-B31)/B31</f>
        <v>0.51491219233502172</v>
      </c>
      <c r="R31" s="303" t="s">
        <v>919</v>
      </c>
      <c r="S31" s="193"/>
      <c r="T31" s="193"/>
      <c r="U31" s="225">
        <f>B31*1000000/$U$7</f>
        <v>184.76467792498096</v>
      </c>
      <c r="V31" s="225">
        <f>J31*1000000/$V$7</f>
        <v>228.11349719777715</v>
      </c>
      <c r="W31" s="225">
        <f>L31*1000000/$W$7</f>
        <v>233.34969472231606</v>
      </c>
      <c r="X31" s="225">
        <f t="shared" si="3"/>
        <v>256.70836467967098</v>
      </c>
      <c r="Y31" s="29">
        <f t="shared" si="2"/>
        <v>0.38938008910935312</v>
      </c>
      <c r="Z31" s="29"/>
    </row>
    <row r="32" spans="1:26">
      <c r="B32" s="25"/>
      <c r="C32" s="25"/>
      <c r="D32" s="9"/>
      <c r="E32" s="9"/>
      <c r="F32" s="6"/>
      <c r="G32" s="9"/>
      <c r="H32" s="9"/>
      <c r="I32" s="57"/>
      <c r="J32" s="9"/>
      <c r="K32" s="29"/>
      <c r="L32" s="9"/>
      <c r="M32" s="29"/>
      <c r="N32" s="19"/>
      <c r="O32" s="29"/>
      <c r="P32" s="9"/>
      <c r="Q32" s="29"/>
      <c r="U32" s="225"/>
      <c r="V32" s="225"/>
      <c r="W32" s="225"/>
      <c r="X32" s="225"/>
      <c r="Y32" s="29"/>
    </row>
    <row r="33" spans="1:26" ht="15.75">
      <c r="A33" s="4" t="s">
        <v>13</v>
      </c>
      <c r="B33" s="25"/>
      <c r="C33" s="25"/>
      <c r="D33" s="9"/>
      <c r="E33" s="9"/>
      <c r="F33" s="6"/>
      <c r="G33" s="9"/>
      <c r="H33" s="9"/>
      <c r="I33" s="57"/>
      <c r="J33" s="9"/>
      <c r="K33" s="29"/>
      <c r="L33" s="9"/>
      <c r="M33" s="29"/>
      <c r="N33" s="19"/>
      <c r="O33" s="29"/>
      <c r="P33" s="9"/>
      <c r="Q33" s="29"/>
      <c r="U33" s="225"/>
      <c r="V33" s="225"/>
      <c r="W33" s="225"/>
      <c r="X33" s="225"/>
      <c r="Y33" s="29"/>
    </row>
    <row r="34" spans="1:26" ht="15" customHeight="1">
      <c r="A34" t="s">
        <v>7</v>
      </c>
      <c r="B34" s="25">
        <f>'Disability $ details 05-06'!B31</f>
        <v>4729.1000000000004</v>
      </c>
      <c r="C34" s="25"/>
      <c r="D34" s="9">
        <f>'CAN Dis $ details 08-09'!B31</f>
        <v>5190.8</v>
      </c>
      <c r="E34" s="9"/>
      <c r="F34" s="6"/>
      <c r="G34" s="9">
        <f>'CAN Disability details 09-10'!B31</f>
        <v>5281.7</v>
      </c>
      <c r="H34" s="9"/>
      <c r="I34" s="57">
        <f>(G34-B34)/B34</f>
        <v>0.11685098644562378</v>
      </c>
      <c r="J34" s="9">
        <f>'CAN Disability details 10-11'!B31</f>
        <v>5207.8999999999996</v>
      </c>
      <c r="K34" s="29">
        <f>(J34-B34)/B34</f>
        <v>0.10124548011249482</v>
      </c>
      <c r="L34" s="9">
        <f>'CAN Disability details 11-12'!B32</f>
        <v>5338</v>
      </c>
      <c r="M34" s="29">
        <f>(L34-B34)/B34</f>
        <v>0.1287560000845826</v>
      </c>
      <c r="N34" s="19">
        <f>'CAN Disability details 12-13'!B32</f>
        <v>5255.28</v>
      </c>
      <c r="O34" s="29">
        <f>(N34-B34)/B34</f>
        <v>0.11126429976105376</v>
      </c>
      <c r="P34" s="9">
        <f>'CAN Disability detailes 13-14'!B32</f>
        <v>5210.1359999999995</v>
      </c>
      <c r="Q34" s="29">
        <f>(P34-B34)/B34</f>
        <v>0.10171829735044705</v>
      </c>
      <c r="U34" s="225">
        <f>B34*1000000/$U$7</f>
        <v>146.67348833354774</v>
      </c>
      <c r="V34" s="225">
        <f>J34*1000000/$V$7</f>
        <v>153.14977317930155</v>
      </c>
      <c r="W34" s="225">
        <f>L34*1000000/$W$7</f>
        <v>155.43296145507148</v>
      </c>
      <c r="X34" s="225">
        <f>P34*1000000/$X$7</f>
        <v>148.20258987079089</v>
      </c>
      <c r="Y34" s="29">
        <f t="shared" si="2"/>
        <v>1.0425207408757102E-2</v>
      </c>
      <c r="Z34" s="29"/>
    </row>
    <row r="35" spans="1:26">
      <c r="A35" t="s">
        <v>8</v>
      </c>
      <c r="B35" s="9">
        <f>'Disability $ details 05-06'!B33</f>
        <v>107.7</v>
      </c>
      <c r="C35" s="9"/>
      <c r="D35" s="9">
        <f>'CAN Dis $ details 08-09'!B33</f>
        <v>177.6</v>
      </c>
      <c r="E35" s="9"/>
      <c r="F35" s="6"/>
      <c r="G35" s="9">
        <f>'CAN Disability details 09-10'!B33</f>
        <v>188.5</v>
      </c>
      <c r="H35" s="9"/>
      <c r="I35" s="57">
        <f>(G35-B35)/B35</f>
        <v>0.75023212627669444</v>
      </c>
      <c r="J35" s="9">
        <f>'CAN Disability details 10-11'!B33</f>
        <v>190</v>
      </c>
      <c r="K35" s="29">
        <f>(J35-B35)/B35</f>
        <v>0.76415970287836577</v>
      </c>
      <c r="L35" s="9">
        <f>'CAN Disability details 11-12'!B34</f>
        <v>190</v>
      </c>
      <c r="M35" s="29">
        <f>(L35-B35)/B35</f>
        <v>0.76415970287836577</v>
      </c>
      <c r="N35" s="19">
        <f>'CAN Disability details 12-13'!B34</f>
        <v>190</v>
      </c>
      <c r="O35" s="29">
        <f>(N35-B35)/B35</f>
        <v>0.76415970287836577</v>
      </c>
      <c r="P35" s="9">
        <f>'CAN Disability detailes 13-14'!B34</f>
        <v>190</v>
      </c>
      <c r="Q35" s="29">
        <f>(P35-B35)/B35</f>
        <v>0.76415970287836577</v>
      </c>
      <c r="U35" s="225"/>
      <c r="V35" s="225"/>
      <c r="W35" s="225"/>
      <c r="X35" s="225"/>
      <c r="Y35" s="29"/>
    </row>
    <row r="36" spans="1:26">
      <c r="A36" s="61" t="s">
        <v>24</v>
      </c>
      <c r="B36" s="62">
        <f>SUM(B34:B35)</f>
        <v>4836.8</v>
      </c>
      <c r="C36" s="62"/>
      <c r="D36" s="62">
        <f>SUM(D34:D35)</f>
        <v>5368.4000000000005</v>
      </c>
      <c r="E36" s="62"/>
      <c r="F36" s="63">
        <f>(D36-B36)/B36</f>
        <v>0.10990737677803514</v>
      </c>
      <c r="G36" s="62">
        <f>SUM(G34:G35)</f>
        <v>5470.2</v>
      </c>
      <c r="H36" s="62"/>
      <c r="I36" s="63">
        <f>(G36-B36)/B36</f>
        <v>0.13095434998346006</v>
      </c>
      <c r="J36" s="62">
        <f>SUM(J34:J35)</f>
        <v>5397.9</v>
      </c>
      <c r="K36" s="63">
        <f>(J36-B36)/B36</f>
        <v>0.11600645054581529</v>
      </c>
      <c r="L36" s="62">
        <f>SUM(L34:L35)</f>
        <v>5528</v>
      </c>
      <c r="M36" s="29">
        <f>(L36-B36)/B36</f>
        <v>0.1429043996030433</v>
      </c>
      <c r="N36" s="19">
        <f>SUM(N34:N35)</f>
        <v>5445.28</v>
      </c>
      <c r="O36" s="29">
        <f>(N36-B36)/B36</f>
        <v>0.12580218326166051</v>
      </c>
      <c r="P36" s="9">
        <f>SUM(P34:P35)</f>
        <v>5400.1359999999995</v>
      </c>
      <c r="Q36" s="29">
        <f>(P36-B36)/B36</f>
        <v>0.1164687396625867</v>
      </c>
      <c r="U36" s="225">
        <f>B36*1000000/$U$7</f>
        <v>150.01381412355497</v>
      </c>
      <c r="V36" s="225">
        <f>J36*1000000/$V$7</f>
        <v>158.73714177394953</v>
      </c>
      <c r="W36" s="225">
        <f>L36*1000000/$W$7</f>
        <v>160.96541980585147</v>
      </c>
      <c r="X36" s="225">
        <f>P36*1000000/$X$7</f>
        <v>153.6071497662428</v>
      </c>
      <c r="Y36" s="29">
        <f t="shared" si="2"/>
        <v>2.3953364986295703E-2</v>
      </c>
      <c r="Z36" s="29"/>
    </row>
    <row r="37" spans="1:26">
      <c r="A37" s="3"/>
      <c r="B37" s="21"/>
      <c r="C37" s="21"/>
      <c r="D37" s="21"/>
      <c r="E37" s="21"/>
      <c r="F37" s="57"/>
      <c r="G37" s="21"/>
      <c r="H37" s="21"/>
      <c r="I37" s="57"/>
      <c r="J37" s="9"/>
      <c r="K37" s="162"/>
      <c r="L37" s="250"/>
      <c r="M37" s="162"/>
      <c r="N37" s="299"/>
      <c r="O37" s="162"/>
      <c r="P37" s="250"/>
      <c r="Q37" s="162"/>
      <c r="U37" s="225"/>
      <c r="V37" s="225"/>
      <c r="W37" s="225"/>
      <c r="X37" s="225"/>
      <c r="Y37" s="29"/>
    </row>
    <row r="38" spans="1:26" ht="15.75">
      <c r="A38" s="4" t="s">
        <v>180</v>
      </c>
      <c r="B38" s="9"/>
      <c r="C38" s="9"/>
      <c r="D38" s="9"/>
      <c r="E38" s="9"/>
      <c r="F38" s="6"/>
      <c r="G38" s="9"/>
      <c r="H38" s="9"/>
      <c r="I38" s="57"/>
      <c r="J38" s="9"/>
      <c r="K38" s="29"/>
      <c r="L38" s="9"/>
      <c r="M38" s="29"/>
      <c r="N38" s="19"/>
      <c r="O38" s="29"/>
      <c r="P38" s="9"/>
      <c r="Q38" s="29"/>
      <c r="U38" s="225"/>
      <c r="V38" s="225"/>
      <c r="W38" s="225"/>
      <c r="X38" s="225"/>
      <c r="Y38" s="29"/>
    </row>
    <row r="39" spans="1:26">
      <c r="A39" t="s">
        <v>243</v>
      </c>
      <c r="B39" s="9">
        <f>'Disability $ details 05-06'!B36</f>
        <v>956</v>
      </c>
      <c r="C39" s="9"/>
      <c r="D39" s="9">
        <f>'CAN Dis $ details 08-09'!B37</f>
        <v>1189</v>
      </c>
      <c r="E39" s="9"/>
      <c r="F39" s="6"/>
      <c r="G39" s="9">
        <f>'CAN Disability details 09-10'!B37</f>
        <v>1124</v>
      </c>
      <c r="H39" s="9" t="s">
        <v>237</v>
      </c>
      <c r="I39" s="57">
        <f>(G39-B39)/B39</f>
        <v>0.17573221757322174</v>
      </c>
      <c r="J39" s="9">
        <f>'CAN Disability details 10-11'!B37</f>
        <v>1139</v>
      </c>
      <c r="K39" s="29">
        <f>(J39-B39)/B39</f>
        <v>0.19142259414225943</v>
      </c>
      <c r="L39" s="9">
        <f>'CAN Disability details 11-12'!B38</f>
        <v>1167</v>
      </c>
      <c r="M39" s="29">
        <f>(L39-B39)/B39</f>
        <v>0.22071129707112971</v>
      </c>
      <c r="N39" s="19">
        <f>'CAN Disability details 12-13'!B38</f>
        <v>1178</v>
      </c>
      <c r="O39" s="29">
        <f>(N39-B39)/B39</f>
        <v>0.23221757322175732</v>
      </c>
      <c r="P39" s="9">
        <f>'CAN Disability detailes 13-14'!B38</f>
        <v>1216</v>
      </c>
      <c r="Q39" s="29">
        <f t="shared" ref="Q39:Q45" si="4">(P39-B39)/B39</f>
        <v>0.27196652719665271</v>
      </c>
      <c r="U39" s="225"/>
      <c r="V39" s="225"/>
      <c r="W39" s="225"/>
      <c r="X39" s="225"/>
      <c r="Y39" s="29"/>
    </row>
    <row r="40" spans="1:26">
      <c r="A40" t="s">
        <v>244</v>
      </c>
      <c r="B40" s="9">
        <f>'Disability $ details 05-06'!B37</f>
        <v>3493</v>
      </c>
      <c r="C40" s="9"/>
      <c r="D40" s="9">
        <f>'CAN Dis $ details 08-09'!B38</f>
        <v>4141</v>
      </c>
      <c r="E40" s="9"/>
      <c r="F40" s="6"/>
      <c r="G40" s="9">
        <f>'CAN Disability details 09-10'!B38</f>
        <v>4368</v>
      </c>
      <c r="H40" s="9" t="s">
        <v>237</v>
      </c>
      <c r="I40" s="57">
        <f>(G40-B40)/B40</f>
        <v>0.25050100200400799</v>
      </c>
      <c r="J40" s="9">
        <f>'CAN Disability details 10-11'!B38</f>
        <v>4535</v>
      </c>
      <c r="K40" s="29">
        <f>(J40-B40)/B40</f>
        <v>0.29831090752934442</v>
      </c>
      <c r="L40" s="9">
        <f>'CAN Disability details 11-12'!B39</f>
        <v>4702</v>
      </c>
      <c r="M40" s="29">
        <f>(L40-B40)/B40</f>
        <v>0.34612081305468079</v>
      </c>
      <c r="N40" s="19">
        <f>'CAN Disability details 12-13'!B39</f>
        <v>4928</v>
      </c>
      <c r="O40" s="29">
        <f t="shared" ref="O40:O45" si="5">(N40-B40)/B40</f>
        <v>0.41082164328657317</v>
      </c>
      <c r="P40" s="9">
        <f>'CAN Disability detailes 13-14'!B39</f>
        <v>5493</v>
      </c>
      <c r="Q40" s="29">
        <f t="shared" si="4"/>
        <v>0.57257371886630404</v>
      </c>
      <c r="U40" s="225"/>
      <c r="V40" s="225"/>
      <c r="W40" s="225"/>
      <c r="X40" s="225"/>
      <c r="Y40" s="29"/>
    </row>
    <row r="41" spans="1:26">
      <c r="A41" s="61" t="s">
        <v>24</v>
      </c>
      <c r="B41" s="62">
        <f>SUM(B39:B40)</f>
        <v>4449</v>
      </c>
      <c r="C41" s="62"/>
      <c r="D41" s="62">
        <f>SUM(D39:D40)</f>
        <v>5330</v>
      </c>
      <c r="E41" s="62"/>
      <c r="F41" s="63">
        <f>(D41-B41)/B41</f>
        <v>0.19802202742189257</v>
      </c>
      <c r="G41" s="62">
        <f>SUM(G39:G40)</f>
        <v>5492</v>
      </c>
      <c r="H41" s="62" t="s">
        <v>237</v>
      </c>
      <c r="I41" s="63">
        <f>(G41-B41)/B41</f>
        <v>0.23443470442796133</v>
      </c>
      <c r="J41" s="62">
        <f>SUM(J39:J40)</f>
        <v>5674</v>
      </c>
      <c r="K41" s="63">
        <f>(J41-B41)/B41</f>
        <v>0.27534277365700155</v>
      </c>
      <c r="L41" s="62">
        <f>SUM(L39:L40)</f>
        <v>5869</v>
      </c>
      <c r="M41" s="29">
        <f>(L41-B41)/B41</f>
        <v>0.31917284783097327</v>
      </c>
      <c r="N41" s="19">
        <f>SUM(N39:N40)</f>
        <v>6106</v>
      </c>
      <c r="O41" s="29">
        <f t="shared" si="5"/>
        <v>0.37244324567318499</v>
      </c>
      <c r="P41" s="9">
        <f>SUM(P39:P40)</f>
        <v>6709</v>
      </c>
      <c r="Q41" s="29">
        <f t="shared" si="4"/>
        <v>0.50797932119577438</v>
      </c>
      <c r="U41" s="225">
        <f>B41*1000000/$U$7</f>
        <v>137.98616007188554</v>
      </c>
      <c r="V41" s="225">
        <f>J41*1000000/$V$7</f>
        <v>166.85647055806697</v>
      </c>
      <c r="W41" s="225">
        <f>L41*1000000/$W$7</f>
        <v>170.89472663540926</v>
      </c>
      <c r="X41" s="225">
        <f>P41*1000000/$X$7</f>
        <v>190.83785441361536</v>
      </c>
      <c r="Y41" s="29">
        <f t="shared" si="2"/>
        <v>0.38302170532317231</v>
      </c>
      <c r="Z41" s="29"/>
    </row>
    <row r="42" spans="1:26">
      <c r="B42" s="9"/>
      <c r="C42" s="9"/>
      <c r="D42" s="9"/>
      <c r="E42" s="9"/>
      <c r="F42" s="6"/>
      <c r="G42" s="9"/>
      <c r="H42" s="9"/>
      <c r="I42" s="57"/>
      <c r="J42" s="9"/>
      <c r="K42" s="29"/>
      <c r="L42" s="9"/>
      <c r="M42" s="29"/>
      <c r="N42" s="295"/>
      <c r="O42" s="29"/>
      <c r="P42" s="9"/>
      <c r="Q42" s="29"/>
      <c r="U42" s="225"/>
      <c r="V42" s="225"/>
      <c r="W42" s="225"/>
      <c r="X42" s="225"/>
      <c r="Y42" s="29"/>
    </row>
    <row r="43" spans="1:26" ht="15.75">
      <c r="A43" s="64" t="s">
        <v>234</v>
      </c>
      <c r="B43" s="176">
        <f>B16+B22+B26+B31+B36+B41</f>
        <v>23248.05</v>
      </c>
      <c r="C43" s="176"/>
      <c r="D43" s="176">
        <f>D16+D22+D26+D31+D36+D41</f>
        <v>26417.646250000002</v>
      </c>
      <c r="E43" s="176"/>
      <c r="F43" s="196">
        <f>(D43-B43)/B43</f>
        <v>0.13633815524312803</v>
      </c>
      <c r="G43" s="176">
        <f>G16+G22+G26+G31+G36+G41</f>
        <v>27750.4925</v>
      </c>
      <c r="H43" s="176" t="s">
        <v>237</v>
      </c>
      <c r="I43" s="196">
        <f>(G43-B43)/B43</f>
        <v>0.19366968412404487</v>
      </c>
      <c r="J43" s="176">
        <f>J16+J22+J26+J31+J36+J41</f>
        <v>28638.161975308642</v>
      </c>
      <c r="K43" s="196">
        <f>(J43-B43)/B43</f>
        <v>0.23185221880151852</v>
      </c>
      <c r="L43" s="176">
        <f>L16+L22+L26+L31+L36+L41</f>
        <v>29534.737228915663</v>
      </c>
      <c r="M43" s="29">
        <f>(L43-B43)/B43</f>
        <v>0.27041782983586427</v>
      </c>
      <c r="N43" s="176">
        <f>N16+N22+N26+N31+N36+N41</f>
        <v>30631.669398601396</v>
      </c>
      <c r="O43" s="29">
        <f t="shared" si="5"/>
        <v>0.31760166545587254</v>
      </c>
      <c r="P43" s="176">
        <f>P16+P22+P26+P31+P36+P41</f>
        <v>31723.371657787808</v>
      </c>
      <c r="Q43" s="29">
        <f t="shared" si="4"/>
        <v>0.36456053982109504</v>
      </c>
      <c r="U43" s="225">
        <f>B43*1000000/$U$7</f>
        <v>721.04049194407708</v>
      </c>
      <c r="V43" s="225">
        <f>J43*1000000/$V$7</f>
        <v>842.16824646990472</v>
      </c>
      <c r="W43" s="225">
        <f>L43*1000000/$W$7</f>
        <v>859.9984401063532</v>
      </c>
      <c r="X43" s="225">
        <f>P43*1000000/$X$7</f>
        <v>902.37295900103163</v>
      </c>
      <c r="Y43" s="29">
        <f t="shared" si="2"/>
        <v>0.25148721754591619</v>
      </c>
      <c r="Z43" s="29"/>
    </row>
    <row r="44" spans="1:26" ht="15">
      <c r="G44" s="9"/>
      <c r="H44" s="9"/>
      <c r="J44" s="9"/>
      <c r="K44" s="29"/>
      <c r="L44" s="9"/>
      <c r="M44" s="255"/>
      <c r="N44" s="296"/>
      <c r="O44" s="255"/>
      <c r="P44" s="297"/>
      <c r="Q44" s="255"/>
      <c r="U44" s="225"/>
      <c r="V44" s="225"/>
      <c r="W44" s="225"/>
      <c r="X44" s="225"/>
      <c r="Y44" s="29"/>
    </row>
    <row r="45" spans="1:26" ht="31.5">
      <c r="A45" s="71" t="s">
        <v>235</v>
      </c>
      <c r="B45" s="176">
        <f>B43-B31</f>
        <v>17290.8</v>
      </c>
      <c r="C45" s="176"/>
      <c r="D45" s="176">
        <f>D43-D31</f>
        <v>19735</v>
      </c>
      <c r="E45" s="176"/>
      <c r="F45" s="197">
        <f>(D45-B45)/B45</f>
        <v>0.14135841025285129</v>
      </c>
      <c r="G45" s="176">
        <f>G43-G31</f>
        <v>20378.5</v>
      </c>
      <c r="H45" s="176" t="s">
        <v>237</v>
      </c>
      <c r="I45" s="197">
        <f>(G45-B45)/B45</f>
        <v>0.1785747333842275</v>
      </c>
      <c r="J45" s="176">
        <f>J43-J31</f>
        <v>20881.099999999999</v>
      </c>
      <c r="K45" s="197">
        <f>(J45-B45)/B45</f>
        <v>0.20764221435676772</v>
      </c>
      <c r="L45" s="176">
        <f>L43-L31</f>
        <v>21520.86</v>
      </c>
      <c r="M45" s="29">
        <f>(L45-B45)/B45</f>
        <v>0.24464223749045744</v>
      </c>
      <c r="N45" s="176">
        <f>N43-N31</f>
        <v>21936.059999999998</v>
      </c>
      <c r="O45" s="29">
        <f t="shared" si="5"/>
        <v>0.26865500728711211</v>
      </c>
      <c r="P45" s="176">
        <f>P43-P31</f>
        <v>22698.661</v>
      </c>
      <c r="Q45" s="29">
        <f t="shared" si="4"/>
        <v>0.31275944432877606</v>
      </c>
      <c r="U45" s="225">
        <f>B45*1000000/$U$7</f>
        <v>536.27581401909617</v>
      </c>
      <c r="V45" s="225">
        <f>J45*1000000/$V$7</f>
        <v>614.05474927212765</v>
      </c>
      <c r="W45" s="225">
        <f>L45*1000000/$W$7</f>
        <v>626.64874538403706</v>
      </c>
      <c r="X45" s="225">
        <f>P45*1000000/$X$7</f>
        <v>645.6645943213606</v>
      </c>
      <c r="Y45" s="29">
        <f t="shared" si="2"/>
        <v>0.20397858236875327</v>
      </c>
      <c r="Z45" s="29"/>
    </row>
    <row r="48" spans="1:26" ht="15.75">
      <c r="A48" s="4" t="s">
        <v>238</v>
      </c>
    </row>
    <row r="49" spans="1:10">
      <c r="A49" s="169"/>
    </row>
    <row r="50" spans="1:10">
      <c r="A50" s="52" t="s">
        <v>346</v>
      </c>
    </row>
    <row r="51" spans="1:10">
      <c r="A51" t="s">
        <v>277</v>
      </c>
    </row>
    <row r="52" spans="1:10">
      <c r="A52" s="52" t="s">
        <v>278</v>
      </c>
    </row>
    <row r="53" spans="1:10">
      <c r="A53" s="52" t="s">
        <v>279</v>
      </c>
    </row>
    <row r="54" spans="1:10">
      <c r="A54" s="169" t="s">
        <v>104</v>
      </c>
    </row>
    <row r="55" spans="1:10">
      <c r="A55" s="52" t="s">
        <v>346</v>
      </c>
    </row>
    <row r="56" spans="1:10">
      <c r="A56" s="52" t="s">
        <v>280</v>
      </c>
    </row>
    <row r="57" spans="1:10">
      <c r="A57" s="52" t="s">
        <v>408</v>
      </c>
    </row>
    <row r="58" spans="1:10">
      <c r="A58" s="52" t="s">
        <v>279</v>
      </c>
    </row>
    <row r="59" spans="1:10">
      <c r="A59" s="169" t="s">
        <v>181</v>
      </c>
    </row>
    <row r="60" spans="1:10">
      <c r="A60" s="52" t="s">
        <v>346</v>
      </c>
      <c r="J60" s="29"/>
    </row>
    <row r="61" spans="1:10">
      <c r="A61" s="52" t="s">
        <v>296</v>
      </c>
    </row>
    <row r="62" spans="1:10">
      <c r="A62" s="52" t="s">
        <v>279</v>
      </c>
    </row>
    <row r="63" spans="1:10">
      <c r="A63" s="52" t="s">
        <v>408</v>
      </c>
    </row>
    <row r="64" spans="1:10">
      <c r="A64" s="52" t="s">
        <v>386</v>
      </c>
    </row>
    <row r="65" spans="1:9">
      <c r="A65" s="2" t="s">
        <v>514</v>
      </c>
    </row>
    <row r="66" spans="1:9">
      <c r="A66" s="52" t="s">
        <v>920</v>
      </c>
    </row>
    <row r="67" spans="1:9">
      <c r="A67" s="2" t="s">
        <v>689</v>
      </c>
    </row>
    <row r="68" spans="1:9">
      <c r="A68" s="52" t="s">
        <v>712</v>
      </c>
    </row>
    <row r="69" spans="1:9">
      <c r="A69" s="52"/>
    </row>
    <row r="70" spans="1:9">
      <c r="A70" s="52"/>
    </row>
    <row r="71" spans="1:9">
      <c r="A71" t="s">
        <v>319</v>
      </c>
    </row>
    <row r="72" spans="1:9">
      <c r="A72" t="s">
        <v>409</v>
      </c>
    </row>
    <row r="73" spans="1:9">
      <c r="A73" t="s">
        <v>601</v>
      </c>
    </row>
    <row r="74" spans="1:9">
      <c r="A74" s="251" t="s">
        <v>602</v>
      </c>
    </row>
    <row r="75" spans="1:9">
      <c r="A75" s="106" t="s">
        <v>654</v>
      </c>
    </row>
    <row r="76" spans="1:9">
      <c r="A76" s="52" t="s">
        <v>711</v>
      </c>
    </row>
    <row r="77" spans="1:9">
      <c r="A77" s="120" t="s">
        <v>774</v>
      </c>
      <c r="B77" s="103"/>
      <c r="C77" s="103"/>
      <c r="D77" s="103"/>
      <c r="E77" s="103"/>
      <c r="F77" s="103"/>
      <c r="G77" s="103"/>
      <c r="H77" s="103"/>
      <c r="I77" s="103"/>
    </row>
    <row r="78" spans="1:9">
      <c r="A78" s="120" t="s">
        <v>804</v>
      </c>
      <c r="B78" s="103"/>
      <c r="C78" s="103"/>
      <c r="D78" s="103"/>
      <c r="E78" s="103"/>
      <c r="F78" s="103"/>
      <c r="G78" s="103"/>
      <c r="H78" s="103"/>
      <c r="I78" s="103"/>
    </row>
    <row r="79" spans="1:9">
      <c r="A79" s="103" t="s">
        <v>821</v>
      </c>
      <c r="B79" s="103"/>
      <c r="C79" s="103"/>
      <c r="D79" s="103"/>
      <c r="E79" s="103"/>
      <c r="F79" s="103"/>
      <c r="G79" s="103"/>
      <c r="H79" s="103"/>
      <c r="I79" s="103"/>
    </row>
    <row r="80" spans="1:9">
      <c r="A80" s="103"/>
      <c r="B80" s="103"/>
      <c r="C80" s="103"/>
      <c r="D80" s="103"/>
      <c r="E80" s="103"/>
      <c r="F80" s="103"/>
      <c r="G80" s="103"/>
      <c r="H80" s="103"/>
      <c r="I80" s="103"/>
    </row>
    <row r="81" spans="1:9">
      <c r="A81" s="103"/>
      <c r="B81" s="103"/>
      <c r="C81" s="103"/>
      <c r="D81" s="103"/>
      <c r="E81" s="103"/>
      <c r="F81" s="103"/>
      <c r="G81" s="103"/>
      <c r="H81" s="103"/>
      <c r="I81" s="103"/>
    </row>
    <row r="82" spans="1:9">
      <c r="A82" s="103" t="s">
        <v>284</v>
      </c>
      <c r="B82" s="102">
        <f>B16+B19+B21+B25+B30+B35</f>
        <v>7835.2199999999993</v>
      </c>
      <c r="C82" s="103"/>
      <c r="D82" s="111">
        <f>B82/B86</f>
        <v>0.33702697645608981</v>
      </c>
      <c r="E82" s="103"/>
      <c r="F82" s="103"/>
      <c r="G82" s="102">
        <f>G16+G19+G21+G25+G30+G35</f>
        <v>9297.0499999999993</v>
      </c>
      <c r="H82" s="102"/>
      <c r="I82" s="111">
        <f>G82/G86</f>
        <v>0.33502288292721288</v>
      </c>
    </row>
    <row r="83" spans="1:9">
      <c r="A83" s="103" t="s">
        <v>285</v>
      </c>
      <c r="B83" s="102">
        <f>SUM(B84:B85)</f>
        <v>15412.830000000002</v>
      </c>
      <c r="C83" s="103"/>
      <c r="D83" s="111">
        <f>B83/B86</f>
        <v>0.66297302354391008</v>
      </c>
      <c r="E83" s="103"/>
      <c r="F83" s="103"/>
      <c r="G83" s="102">
        <f>SUM(G84:G85)</f>
        <v>18453.442500000001</v>
      </c>
      <c r="H83" s="102"/>
      <c r="I83" s="111">
        <f>G83/G86</f>
        <v>0.66497711707278717</v>
      </c>
    </row>
    <row r="84" spans="1:9">
      <c r="A84" s="103" t="s">
        <v>286</v>
      </c>
      <c r="B84" s="102">
        <f>B20+B29</f>
        <v>6234.7300000000014</v>
      </c>
      <c r="C84" s="103"/>
      <c r="D84" s="111">
        <f>B84/B86</f>
        <v>0.2681829228687998</v>
      </c>
      <c r="E84" s="103"/>
      <c r="F84" s="103"/>
      <c r="G84" s="102">
        <f>G20+G29</f>
        <v>7679.7425000000003</v>
      </c>
      <c r="H84" s="102"/>
      <c r="I84" s="111">
        <f>G84/G86</f>
        <v>0.27674256592022645</v>
      </c>
    </row>
    <row r="85" spans="1:9">
      <c r="A85" s="103" t="s">
        <v>287</v>
      </c>
      <c r="B85" s="102">
        <f>B34+B41</f>
        <v>9178.1</v>
      </c>
      <c r="C85" s="103"/>
      <c r="D85" s="111">
        <f>B85/B86</f>
        <v>0.39479010067511033</v>
      </c>
      <c r="E85" s="103"/>
      <c r="F85" s="103"/>
      <c r="G85" s="102">
        <f>G34+G41</f>
        <v>10773.7</v>
      </c>
      <c r="H85" s="102"/>
      <c r="I85" s="111">
        <f>G85/G86</f>
        <v>0.38823455115256067</v>
      </c>
    </row>
    <row r="86" spans="1:9">
      <c r="A86" s="103"/>
      <c r="B86" s="102">
        <f>B82+B83</f>
        <v>23248.050000000003</v>
      </c>
      <c r="C86" s="103"/>
      <c r="D86" s="103"/>
      <c r="E86" s="103"/>
      <c r="F86" s="103"/>
      <c r="G86" s="102">
        <f>G82+G83</f>
        <v>27750.4925</v>
      </c>
      <c r="H86" s="102"/>
      <c r="I86" s="103"/>
    </row>
    <row r="87" spans="1:9">
      <c r="A87" s="103"/>
      <c r="B87" s="103"/>
      <c r="C87" s="103"/>
      <c r="D87" s="103"/>
      <c r="E87" s="103"/>
      <c r="F87" s="103"/>
      <c r="G87" s="103"/>
      <c r="H87" s="103"/>
      <c r="I87" s="103"/>
    </row>
    <row r="90" spans="1:9" ht="51">
      <c r="A90" s="52"/>
      <c r="B90" s="24" t="s">
        <v>406</v>
      </c>
      <c r="C90" s="24"/>
      <c r="D90" s="24" t="s">
        <v>607</v>
      </c>
      <c r="E90" s="52"/>
      <c r="F90" s="244" t="s">
        <v>719</v>
      </c>
      <c r="G90" s="288" t="s">
        <v>911</v>
      </c>
      <c r="H90" s="52"/>
      <c r="I90" s="288" t="s">
        <v>912</v>
      </c>
    </row>
    <row r="91" spans="1:9">
      <c r="A91" s="2" t="s">
        <v>18</v>
      </c>
      <c r="B91" s="96">
        <f>I31</f>
        <v>0.23748247933190636</v>
      </c>
      <c r="C91" s="96"/>
      <c r="D91" s="96">
        <f>K31</f>
        <v>0.30212127664755428</v>
      </c>
      <c r="E91" s="52"/>
      <c r="F91" s="96">
        <f>M31</f>
        <v>0.34523097551985582</v>
      </c>
      <c r="G91" s="29">
        <f>O31</f>
        <v>0.45966837023817986</v>
      </c>
      <c r="I91" s="29">
        <f>Q31</f>
        <v>0.51491219233502172</v>
      </c>
    </row>
    <row r="92" spans="1:9">
      <c r="A92" s="107" t="s">
        <v>234</v>
      </c>
      <c r="B92" s="96">
        <f>I43</f>
        <v>0.19366968412404487</v>
      </c>
      <c r="C92" s="96"/>
      <c r="D92" s="96">
        <f>K43</f>
        <v>0.23185221880151852</v>
      </c>
      <c r="E92" s="52"/>
      <c r="F92" s="96">
        <f>M43</f>
        <v>0.27041782983586427</v>
      </c>
      <c r="G92" s="29">
        <f>O43</f>
        <v>0.31760166545587254</v>
      </c>
      <c r="I92" s="29">
        <f>Q43</f>
        <v>0.36456053982109504</v>
      </c>
    </row>
    <row r="93" spans="1:9" ht="25.5">
      <c r="A93" s="205" t="s">
        <v>235</v>
      </c>
      <c r="B93" s="96">
        <f>I45</f>
        <v>0.1785747333842275</v>
      </c>
      <c r="C93" s="96"/>
      <c r="D93" s="96">
        <f>K45</f>
        <v>0.20764221435676772</v>
      </c>
      <c r="E93" s="52"/>
      <c r="F93" s="96">
        <f>M45</f>
        <v>0.24464223749045744</v>
      </c>
      <c r="G93" s="29">
        <f>O45</f>
        <v>0.26865500728711211</v>
      </c>
      <c r="I93" s="29">
        <f>Q45</f>
        <v>0.31275944432877606</v>
      </c>
    </row>
  </sheetData>
  <mergeCells count="1">
    <mergeCell ref="Y7:AA7"/>
  </mergeCells>
  <pageMargins left="0.70866141732283472" right="0.70866141732283472" top="0.74803149606299213" bottom="0.74803149606299213" header="0.31496062992125984" footer="0.31496062992125984"/>
  <pageSetup scale="70" fitToWidth="2" orientation="landscape" verticalDpi="0" r:id="rId1"/>
</worksheet>
</file>

<file path=xl/worksheets/sheet20.xml><?xml version="1.0" encoding="utf-8"?>
<worksheet xmlns="http://schemas.openxmlformats.org/spreadsheetml/2006/main" xmlns:r="http://schemas.openxmlformats.org/officeDocument/2006/relationships">
  <sheetPr>
    <pageSetUpPr fitToPage="1"/>
  </sheetPr>
  <dimension ref="A1:M59"/>
  <sheetViews>
    <sheetView topLeftCell="A16" workbookViewId="0">
      <selection activeCell="A50" sqref="A50"/>
    </sheetView>
  </sheetViews>
  <sheetFormatPr defaultRowHeight="12.75"/>
  <cols>
    <col min="1" max="1" width="35.42578125" customWidth="1"/>
    <col min="2" max="2" width="10.140625" customWidth="1"/>
    <col min="3" max="3" width="2.7109375" customWidth="1"/>
    <col min="4" max="4" width="14" customWidth="1"/>
    <col min="11" max="11" width="25.7109375" customWidth="1"/>
    <col min="255" max="255" width="35.42578125" customWidth="1"/>
    <col min="256" max="256" width="10.140625" bestFit="1" customWidth="1"/>
    <col min="257" max="257" width="14" customWidth="1"/>
    <col min="258" max="258" width="10.140625" customWidth="1"/>
    <col min="259" max="259" width="14" customWidth="1"/>
    <col min="267" max="267" width="10" bestFit="1" customWidth="1"/>
    <col min="511" max="511" width="35.42578125" customWidth="1"/>
    <col min="512" max="512" width="10.140625" bestFit="1" customWidth="1"/>
    <col min="513" max="513" width="14" customWidth="1"/>
    <col min="514" max="514" width="10.140625" customWidth="1"/>
    <col min="515" max="515" width="14" customWidth="1"/>
    <col min="523" max="523" width="10" bestFit="1" customWidth="1"/>
    <col min="767" max="767" width="35.42578125" customWidth="1"/>
    <col min="768" max="768" width="10.140625" bestFit="1" customWidth="1"/>
    <col min="769" max="769" width="14" customWidth="1"/>
    <col min="770" max="770" width="10.140625" customWidth="1"/>
    <col min="771" max="771" width="14" customWidth="1"/>
    <col min="779" max="779" width="10" bestFit="1" customWidth="1"/>
    <col min="1023" max="1023" width="35.42578125" customWidth="1"/>
    <col min="1024" max="1024" width="10.140625" bestFit="1" customWidth="1"/>
    <col min="1025" max="1025" width="14" customWidth="1"/>
    <col min="1026" max="1026" width="10.140625" customWidth="1"/>
    <col min="1027" max="1027" width="14" customWidth="1"/>
    <col min="1035" max="1035" width="10" bestFit="1" customWidth="1"/>
    <col min="1279" max="1279" width="35.42578125" customWidth="1"/>
    <col min="1280" max="1280" width="10.140625" bestFit="1" customWidth="1"/>
    <col min="1281" max="1281" width="14" customWidth="1"/>
    <col min="1282" max="1282" width="10.140625" customWidth="1"/>
    <col min="1283" max="1283" width="14" customWidth="1"/>
    <col min="1291" max="1291" width="10" bestFit="1" customWidth="1"/>
    <col min="1535" max="1535" width="35.42578125" customWidth="1"/>
    <col min="1536" max="1536" width="10.140625" bestFit="1" customWidth="1"/>
    <col min="1537" max="1537" width="14" customWidth="1"/>
    <col min="1538" max="1538" width="10.140625" customWidth="1"/>
    <col min="1539" max="1539" width="14" customWidth="1"/>
    <col min="1547" max="1547" width="10" bestFit="1" customWidth="1"/>
    <col min="1791" max="1791" width="35.42578125" customWidth="1"/>
    <col min="1792" max="1792" width="10.140625" bestFit="1" customWidth="1"/>
    <col min="1793" max="1793" width="14" customWidth="1"/>
    <col min="1794" max="1794" width="10.140625" customWidth="1"/>
    <col min="1795" max="1795" width="14" customWidth="1"/>
    <col min="1803" max="1803" width="10" bestFit="1" customWidth="1"/>
    <col min="2047" max="2047" width="35.42578125" customWidth="1"/>
    <col min="2048" max="2048" width="10.140625" bestFit="1" customWidth="1"/>
    <col min="2049" max="2049" width="14" customWidth="1"/>
    <col min="2050" max="2050" width="10.140625" customWidth="1"/>
    <col min="2051" max="2051" width="14" customWidth="1"/>
    <col min="2059" max="2059" width="10" bestFit="1" customWidth="1"/>
    <col min="2303" max="2303" width="35.42578125" customWidth="1"/>
    <col min="2304" max="2304" width="10.140625" bestFit="1" customWidth="1"/>
    <col min="2305" max="2305" width="14" customWidth="1"/>
    <col min="2306" max="2306" width="10.140625" customWidth="1"/>
    <col min="2307" max="2307" width="14" customWidth="1"/>
    <col min="2315" max="2315" width="10" bestFit="1" customWidth="1"/>
    <col min="2559" max="2559" width="35.42578125" customWidth="1"/>
    <col min="2560" max="2560" width="10.140625" bestFit="1" customWidth="1"/>
    <col min="2561" max="2561" width="14" customWidth="1"/>
    <col min="2562" max="2562" width="10.140625" customWidth="1"/>
    <col min="2563" max="2563" width="14" customWidth="1"/>
    <col min="2571" max="2571" width="10" bestFit="1" customWidth="1"/>
    <col min="2815" max="2815" width="35.42578125" customWidth="1"/>
    <col min="2816" max="2816" width="10.140625" bestFit="1" customWidth="1"/>
    <col min="2817" max="2817" width="14" customWidth="1"/>
    <col min="2818" max="2818" width="10.140625" customWidth="1"/>
    <col min="2819" max="2819" width="14" customWidth="1"/>
    <col min="2827" max="2827" width="10" bestFit="1" customWidth="1"/>
    <col min="3071" max="3071" width="35.42578125" customWidth="1"/>
    <col min="3072" max="3072" width="10.140625" bestFit="1" customWidth="1"/>
    <col min="3073" max="3073" width="14" customWidth="1"/>
    <col min="3074" max="3074" width="10.140625" customWidth="1"/>
    <col min="3075" max="3075" width="14" customWidth="1"/>
    <col min="3083" max="3083" width="10" bestFit="1" customWidth="1"/>
    <col min="3327" max="3327" width="35.42578125" customWidth="1"/>
    <col min="3328" max="3328" width="10.140625" bestFit="1" customWidth="1"/>
    <col min="3329" max="3329" width="14" customWidth="1"/>
    <col min="3330" max="3330" width="10.140625" customWidth="1"/>
    <col min="3331" max="3331" width="14" customWidth="1"/>
    <col min="3339" max="3339" width="10" bestFit="1" customWidth="1"/>
    <col min="3583" max="3583" width="35.42578125" customWidth="1"/>
    <col min="3584" max="3584" width="10.140625" bestFit="1" customWidth="1"/>
    <col min="3585" max="3585" width="14" customWidth="1"/>
    <col min="3586" max="3586" width="10.140625" customWidth="1"/>
    <col min="3587" max="3587" width="14" customWidth="1"/>
    <col min="3595" max="3595" width="10" bestFit="1" customWidth="1"/>
    <col min="3839" max="3839" width="35.42578125" customWidth="1"/>
    <col min="3840" max="3840" width="10.140625" bestFit="1" customWidth="1"/>
    <col min="3841" max="3841" width="14" customWidth="1"/>
    <col min="3842" max="3842" width="10.140625" customWidth="1"/>
    <col min="3843" max="3843" width="14" customWidth="1"/>
    <col min="3851" max="3851" width="10" bestFit="1" customWidth="1"/>
    <col min="4095" max="4095" width="35.42578125" customWidth="1"/>
    <col min="4096" max="4096" width="10.140625" bestFit="1" customWidth="1"/>
    <col min="4097" max="4097" width="14" customWidth="1"/>
    <col min="4098" max="4098" width="10.140625" customWidth="1"/>
    <col min="4099" max="4099" width="14" customWidth="1"/>
    <col min="4107" max="4107" width="10" bestFit="1" customWidth="1"/>
    <col min="4351" max="4351" width="35.42578125" customWidth="1"/>
    <col min="4352" max="4352" width="10.140625" bestFit="1" customWidth="1"/>
    <col min="4353" max="4353" width="14" customWidth="1"/>
    <col min="4354" max="4354" width="10.140625" customWidth="1"/>
    <col min="4355" max="4355" width="14" customWidth="1"/>
    <col min="4363" max="4363" width="10" bestFit="1" customWidth="1"/>
    <col min="4607" max="4607" width="35.42578125" customWidth="1"/>
    <col min="4608" max="4608" width="10.140625" bestFit="1" customWidth="1"/>
    <col min="4609" max="4609" width="14" customWidth="1"/>
    <col min="4610" max="4610" width="10.140625" customWidth="1"/>
    <col min="4611" max="4611" width="14" customWidth="1"/>
    <col min="4619" max="4619" width="10" bestFit="1" customWidth="1"/>
    <col min="4863" max="4863" width="35.42578125" customWidth="1"/>
    <col min="4864" max="4864" width="10.140625" bestFit="1" customWidth="1"/>
    <col min="4865" max="4865" width="14" customWidth="1"/>
    <col min="4866" max="4866" width="10.140625" customWidth="1"/>
    <col min="4867" max="4867" width="14" customWidth="1"/>
    <col min="4875" max="4875" width="10" bestFit="1" customWidth="1"/>
    <col min="5119" max="5119" width="35.42578125" customWidth="1"/>
    <col min="5120" max="5120" width="10.140625" bestFit="1" customWidth="1"/>
    <col min="5121" max="5121" width="14" customWidth="1"/>
    <col min="5122" max="5122" width="10.140625" customWidth="1"/>
    <col min="5123" max="5123" width="14" customWidth="1"/>
    <col min="5131" max="5131" width="10" bestFit="1" customWidth="1"/>
    <col min="5375" max="5375" width="35.42578125" customWidth="1"/>
    <col min="5376" max="5376" width="10.140625" bestFit="1" customWidth="1"/>
    <col min="5377" max="5377" width="14" customWidth="1"/>
    <col min="5378" max="5378" width="10.140625" customWidth="1"/>
    <col min="5379" max="5379" width="14" customWidth="1"/>
    <col min="5387" max="5387" width="10" bestFit="1" customWidth="1"/>
    <col min="5631" max="5631" width="35.42578125" customWidth="1"/>
    <col min="5632" max="5632" width="10.140625" bestFit="1" customWidth="1"/>
    <col min="5633" max="5633" width="14" customWidth="1"/>
    <col min="5634" max="5634" width="10.140625" customWidth="1"/>
    <col min="5635" max="5635" width="14" customWidth="1"/>
    <col min="5643" max="5643" width="10" bestFit="1" customWidth="1"/>
    <col min="5887" max="5887" width="35.42578125" customWidth="1"/>
    <col min="5888" max="5888" width="10.140625" bestFit="1" customWidth="1"/>
    <col min="5889" max="5889" width="14" customWidth="1"/>
    <col min="5890" max="5890" width="10.140625" customWidth="1"/>
    <col min="5891" max="5891" width="14" customWidth="1"/>
    <col min="5899" max="5899" width="10" bestFit="1" customWidth="1"/>
    <col min="6143" max="6143" width="35.42578125" customWidth="1"/>
    <col min="6144" max="6144" width="10.140625" bestFit="1" customWidth="1"/>
    <col min="6145" max="6145" width="14" customWidth="1"/>
    <col min="6146" max="6146" width="10.140625" customWidth="1"/>
    <col min="6147" max="6147" width="14" customWidth="1"/>
    <col min="6155" max="6155" width="10" bestFit="1" customWidth="1"/>
    <col min="6399" max="6399" width="35.42578125" customWidth="1"/>
    <col min="6400" max="6400" width="10.140625" bestFit="1" customWidth="1"/>
    <col min="6401" max="6401" width="14" customWidth="1"/>
    <col min="6402" max="6402" width="10.140625" customWidth="1"/>
    <col min="6403" max="6403" width="14" customWidth="1"/>
    <col min="6411" max="6411" width="10" bestFit="1" customWidth="1"/>
    <col min="6655" max="6655" width="35.42578125" customWidth="1"/>
    <col min="6656" max="6656" width="10.140625" bestFit="1" customWidth="1"/>
    <col min="6657" max="6657" width="14" customWidth="1"/>
    <col min="6658" max="6658" width="10.140625" customWidth="1"/>
    <col min="6659" max="6659" width="14" customWidth="1"/>
    <col min="6667" max="6667" width="10" bestFit="1" customWidth="1"/>
    <col min="6911" max="6911" width="35.42578125" customWidth="1"/>
    <col min="6912" max="6912" width="10.140625" bestFit="1" customWidth="1"/>
    <col min="6913" max="6913" width="14" customWidth="1"/>
    <col min="6914" max="6914" width="10.140625" customWidth="1"/>
    <col min="6915" max="6915" width="14" customWidth="1"/>
    <col min="6923" max="6923" width="10" bestFit="1" customWidth="1"/>
    <col min="7167" max="7167" width="35.42578125" customWidth="1"/>
    <col min="7168" max="7168" width="10.140625" bestFit="1" customWidth="1"/>
    <col min="7169" max="7169" width="14" customWidth="1"/>
    <col min="7170" max="7170" width="10.140625" customWidth="1"/>
    <col min="7171" max="7171" width="14" customWidth="1"/>
    <col min="7179" max="7179" width="10" bestFit="1" customWidth="1"/>
    <col min="7423" max="7423" width="35.42578125" customWidth="1"/>
    <col min="7424" max="7424" width="10.140625" bestFit="1" customWidth="1"/>
    <col min="7425" max="7425" width="14" customWidth="1"/>
    <col min="7426" max="7426" width="10.140625" customWidth="1"/>
    <col min="7427" max="7427" width="14" customWidth="1"/>
    <col min="7435" max="7435" width="10" bestFit="1" customWidth="1"/>
    <col min="7679" max="7679" width="35.42578125" customWidth="1"/>
    <col min="7680" max="7680" width="10.140625" bestFit="1" customWidth="1"/>
    <col min="7681" max="7681" width="14" customWidth="1"/>
    <col min="7682" max="7682" width="10.140625" customWidth="1"/>
    <col min="7683" max="7683" width="14" customWidth="1"/>
    <col min="7691" max="7691" width="10" bestFit="1" customWidth="1"/>
    <col min="7935" max="7935" width="35.42578125" customWidth="1"/>
    <col min="7936" max="7936" width="10.140625" bestFit="1" customWidth="1"/>
    <col min="7937" max="7937" width="14" customWidth="1"/>
    <col min="7938" max="7938" width="10.140625" customWidth="1"/>
    <col min="7939" max="7939" width="14" customWidth="1"/>
    <col min="7947" max="7947" width="10" bestFit="1" customWidth="1"/>
    <col min="8191" max="8191" width="35.42578125" customWidth="1"/>
    <col min="8192" max="8192" width="10.140625" bestFit="1" customWidth="1"/>
    <col min="8193" max="8193" width="14" customWidth="1"/>
    <col min="8194" max="8194" width="10.140625" customWidth="1"/>
    <col min="8195" max="8195" width="14" customWidth="1"/>
    <col min="8203" max="8203" width="10" bestFit="1" customWidth="1"/>
    <col min="8447" max="8447" width="35.42578125" customWidth="1"/>
    <col min="8448" max="8448" width="10.140625" bestFit="1" customWidth="1"/>
    <col min="8449" max="8449" width="14" customWidth="1"/>
    <col min="8450" max="8450" width="10.140625" customWidth="1"/>
    <col min="8451" max="8451" width="14" customWidth="1"/>
    <col min="8459" max="8459" width="10" bestFit="1" customWidth="1"/>
    <col min="8703" max="8703" width="35.42578125" customWidth="1"/>
    <col min="8704" max="8704" width="10.140625" bestFit="1" customWidth="1"/>
    <col min="8705" max="8705" width="14" customWidth="1"/>
    <col min="8706" max="8706" width="10.140625" customWidth="1"/>
    <col min="8707" max="8707" width="14" customWidth="1"/>
    <col min="8715" max="8715" width="10" bestFit="1" customWidth="1"/>
    <col min="8959" max="8959" width="35.42578125" customWidth="1"/>
    <col min="8960" max="8960" width="10.140625" bestFit="1" customWidth="1"/>
    <col min="8961" max="8961" width="14" customWidth="1"/>
    <col min="8962" max="8962" width="10.140625" customWidth="1"/>
    <col min="8963" max="8963" width="14" customWidth="1"/>
    <col min="8971" max="8971" width="10" bestFit="1" customWidth="1"/>
    <col min="9215" max="9215" width="35.42578125" customWidth="1"/>
    <col min="9216" max="9216" width="10.140625" bestFit="1" customWidth="1"/>
    <col min="9217" max="9217" width="14" customWidth="1"/>
    <col min="9218" max="9218" width="10.140625" customWidth="1"/>
    <col min="9219" max="9219" width="14" customWidth="1"/>
    <col min="9227" max="9227" width="10" bestFit="1" customWidth="1"/>
    <col min="9471" max="9471" width="35.42578125" customWidth="1"/>
    <col min="9472" max="9472" width="10.140625" bestFit="1" customWidth="1"/>
    <col min="9473" max="9473" width="14" customWidth="1"/>
    <col min="9474" max="9474" width="10.140625" customWidth="1"/>
    <col min="9475" max="9475" width="14" customWidth="1"/>
    <col min="9483" max="9483" width="10" bestFit="1" customWidth="1"/>
    <col min="9727" max="9727" width="35.42578125" customWidth="1"/>
    <col min="9728" max="9728" width="10.140625" bestFit="1" customWidth="1"/>
    <col min="9729" max="9729" width="14" customWidth="1"/>
    <col min="9730" max="9730" width="10.140625" customWidth="1"/>
    <col min="9731" max="9731" width="14" customWidth="1"/>
    <col min="9739" max="9739" width="10" bestFit="1" customWidth="1"/>
    <col min="9983" max="9983" width="35.42578125" customWidth="1"/>
    <col min="9984" max="9984" width="10.140625" bestFit="1" customWidth="1"/>
    <col min="9985" max="9985" width="14" customWidth="1"/>
    <col min="9986" max="9986" width="10.140625" customWidth="1"/>
    <col min="9987" max="9987" width="14" customWidth="1"/>
    <col min="9995" max="9995" width="10" bestFit="1" customWidth="1"/>
    <col min="10239" max="10239" width="35.42578125" customWidth="1"/>
    <col min="10240" max="10240" width="10.140625" bestFit="1" customWidth="1"/>
    <col min="10241" max="10241" width="14" customWidth="1"/>
    <col min="10242" max="10242" width="10.140625" customWidth="1"/>
    <col min="10243" max="10243" width="14" customWidth="1"/>
    <col min="10251" max="10251" width="10" bestFit="1" customWidth="1"/>
    <col min="10495" max="10495" width="35.42578125" customWidth="1"/>
    <col min="10496" max="10496" width="10.140625" bestFit="1" customWidth="1"/>
    <col min="10497" max="10497" width="14" customWidth="1"/>
    <col min="10498" max="10498" width="10.140625" customWidth="1"/>
    <col min="10499" max="10499" width="14" customWidth="1"/>
    <col min="10507" max="10507" width="10" bestFit="1" customWidth="1"/>
    <col min="10751" max="10751" width="35.42578125" customWidth="1"/>
    <col min="10752" max="10752" width="10.140625" bestFit="1" customWidth="1"/>
    <col min="10753" max="10753" width="14" customWidth="1"/>
    <col min="10754" max="10754" width="10.140625" customWidth="1"/>
    <col min="10755" max="10755" width="14" customWidth="1"/>
    <col min="10763" max="10763" width="10" bestFit="1" customWidth="1"/>
    <col min="11007" max="11007" width="35.42578125" customWidth="1"/>
    <col min="11008" max="11008" width="10.140625" bestFit="1" customWidth="1"/>
    <col min="11009" max="11009" width="14" customWidth="1"/>
    <col min="11010" max="11010" width="10.140625" customWidth="1"/>
    <col min="11011" max="11011" width="14" customWidth="1"/>
    <col min="11019" max="11019" width="10" bestFit="1" customWidth="1"/>
    <col min="11263" max="11263" width="35.42578125" customWidth="1"/>
    <col min="11264" max="11264" width="10.140625" bestFit="1" customWidth="1"/>
    <col min="11265" max="11265" width="14" customWidth="1"/>
    <col min="11266" max="11266" width="10.140625" customWidth="1"/>
    <col min="11267" max="11267" width="14" customWidth="1"/>
    <col min="11275" max="11275" width="10" bestFit="1" customWidth="1"/>
    <col min="11519" max="11519" width="35.42578125" customWidth="1"/>
    <col min="11520" max="11520" width="10.140625" bestFit="1" customWidth="1"/>
    <col min="11521" max="11521" width="14" customWidth="1"/>
    <col min="11522" max="11522" width="10.140625" customWidth="1"/>
    <col min="11523" max="11523" width="14" customWidth="1"/>
    <col min="11531" max="11531" width="10" bestFit="1" customWidth="1"/>
    <col min="11775" max="11775" width="35.42578125" customWidth="1"/>
    <col min="11776" max="11776" width="10.140625" bestFit="1" customWidth="1"/>
    <col min="11777" max="11777" width="14" customWidth="1"/>
    <col min="11778" max="11778" width="10.140625" customWidth="1"/>
    <col min="11779" max="11779" width="14" customWidth="1"/>
    <col min="11787" max="11787" width="10" bestFit="1" customWidth="1"/>
    <col min="12031" max="12031" width="35.42578125" customWidth="1"/>
    <col min="12032" max="12032" width="10.140625" bestFit="1" customWidth="1"/>
    <col min="12033" max="12033" width="14" customWidth="1"/>
    <col min="12034" max="12034" width="10.140625" customWidth="1"/>
    <col min="12035" max="12035" width="14" customWidth="1"/>
    <col min="12043" max="12043" width="10" bestFit="1" customWidth="1"/>
    <col min="12287" max="12287" width="35.42578125" customWidth="1"/>
    <col min="12288" max="12288" width="10.140625" bestFit="1" customWidth="1"/>
    <col min="12289" max="12289" width="14" customWidth="1"/>
    <col min="12290" max="12290" width="10.140625" customWidth="1"/>
    <col min="12291" max="12291" width="14" customWidth="1"/>
    <col min="12299" max="12299" width="10" bestFit="1" customWidth="1"/>
    <col min="12543" max="12543" width="35.42578125" customWidth="1"/>
    <col min="12544" max="12544" width="10.140625" bestFit="1" customWidth="1"/>
    <col min="12545" max="12545" width="14" customWidth="1"/>
    <col min="12546" max="12546" width="10.140625" customWidth="1"/>
    <col min="12547" max="12547" width="14" customWidth="1"/>
    <col min="12555" max="12555" width="10" bestFit="1" customWidth="1"/>
    <col min="12799" max="12799" width="35.42578125" customWidth="1"/>
    <col min="12800" max="12800" width="10.140625" bestFit="1" customWidth="1"/>
    <col min="12801" max="12801" width="14" customWidth="1"/>
    <col min="12802" max="12802" width="10.140625" customWidth="1"/>
    <col min="12803" max="12803" width="14" customWidth="1"/>
    <col min="12811" max="12811" width="10" bestFit="1" customWidth="1"/>
    <col min="13055" max="13055" width="35.42578125" customWidth="1"/>
    <col min="13056" max="13056" width="10.140625" bestFit="1" customWidth="1"/>
    <col min="13057" max="13057" width="14" customWidth="1"/>
    <col min="13058" max="13058" width="10.140625" customWidth="1"/>
    <col min="13059" max="13059" width="14" customWidth="1"/>
    <col min="13067" max="13067" width="10" bestFit="1" customWidth="1"/>
    <col min="13311" max="13311" width="35.42578125" customWidth="1"/>
    <col min="13312" max="13312" width="10.140625" bestFit="1" customWidth="1"/>
    <col min="13313" max="13313" width="14" customWidth="1"/>
    <col min="13314" max="13314" width="10.140625" customWidth="1"/>
    <col min="13315" max="13315" width="14" customWidth="1"/>
    <col min="13323" max="13323" width="10" bestFit="1" customWidth="1"/>
    <col min="13567" max="13567" width="35.42578125" customWidth="1"/>
    <col min="13568" max="13568" width="10.140625" bestFit="1" customWidth="1"/>
    <col min="13569" max="13569" width="14" customWidth="1"/>
    <col min="13570" max="13570" width="10.140625" customWidth="1"/>
    <col min="13571" max="13571" width="14" customWidth="1"/>
    <col min="13579" max="13579" width="10" bestFit="1" customWidth="1"/>
    <col min="13823" max="13823" width="35.42578125" customWidth="1"/>
    <col min="13824" max="13824" width="10.140625" bestFit="1" customWidth="1"/>
    <col min="13825" max="13825" width="14" customWidth="1"/>
    <col min="13826" max="13826" width="10.140625" customWidth="1"/>
    <col min="13827" max="13827" width="14" customWidth="1"/>
    <col min="13835" max="13835" width="10" bestFit="1" customWidth="1"/>
    <col min="14079" max="14079" width="35.42578125" customWidth="1"/>
    <col min="14080" max="14080" width="10.140625" bestFit="1" customWidth="1"/>
    <col min="14081" max="14081" width="14" customWidth="1"/>
    <col min="14082" max="14082" width="10.140625" customWidth="1"/>
    <col min="14083" max="14083" width="14" customWidth="1"/>
    <col min="14091" max="14091" width="10" bestFit="1" customWidth="1"/>
    <col min="14335" max="14335" width="35.42578125" customWidth="1"/>
    <col min="14336" max="14336" width="10.140625" bestFit="1" customWidth="1"/>
    <col min="14337" max="14337" width="14" customWidth="1"/>
    <col min="14338" max="14338" width="10.140625" customWidth="1"/>
    <col min="14339" max="14339" width="14" customWidth="1"/>
    <col min="14347" max="14347" width="10" bestFit="1" customWidth="1"/>
    <col min="14591" max="14591" width="35.42578125" customWidth="1"/>
    <col min="14592" max="14592" width="10.140625" bestFit="1" customWidth="1"/>
    <col min="14593" max="14593" width="14" customWidth="1"/>
    <col min="14594" max="14594" width="10.140625" customWidth="1"/>
    <col min="14595" max="14595" width="14" customWidth="1"/>
    <col min="14603" max="14603" width="10" bestFit="1" customWidth="1"/>
    <col min="14847" max="14847" width="35.42578125" customWidth="1"/>
    <col min="14848" max="14848" width="10.140625" bestFit="1" customWidth="1"/>
    <col min="14849" max="14849" width="14" customWidth="1"/>
    <col min="14850" max="14850" width="10.140625" customWidth="1"/>
    <col min="14851" max="14851" width="14" customWidth="1"/>
    <col min="14859" max="14859" width="10" bestFit="1" customWidth="1"/>
    <col min="15103" max="15103" width="35.42578125" customWidth="1"/>
    <col min="15104" max="15104" width="10.140625" bestFit="1" customWidth="1"/>
    <col min="15105" max="15105" width="14" customWidth="1"/>
    <col min="15106" max="15106" width="10.140625" customWidth="1"/>
    <col min="15107" max="15107" width="14" customWidth="1"/>
    <col min="15115" max="15115" width="10" bestFit="1" customWidth="1"/>
    <col min="15359" max="15359" width="35.42578125" customWidth="1"/>
    <col min="15360" max="15360" width="10.140625" bestFit="1" customWidth="1"/>
    <col min="15361" max="15361" width="14" customWidth="1"/>
    <col min="15362" max="15362" width="10.140625" customWidth="1"/>
    <col min="15363" max="15363" width="14" customWidth="1"/>
    <col min="15371" max="15371" width="10" bestFit="1" customWidth="1"/>
    <col min="15615" max="15615" width="35.42578125" customWidth="1"/>
    <col min="15616" max="15616" width="10.140625" bestFit="1" customWidth="1"/>
    <col min="15617" max="15617" width="14" customWidth="1"/>
    <col min="15618" max="15618" width="10.140625" customWidth="1"/>
    <col min="15619" max="15619" width="14" customWidth="1"/>
    <col min="15627" max="15627" width="10" bestFit="1" customWidth="1"/>
    <col min="15871" max="15871" width="35.42578125" customWidth="1"/>
    <col min="15872" max="15872" width="10.140625" bestFit="1" customWidth="1"/>
    <col min="15873" max="15873" width="14" customWidth="1"/>
    <col min="15874" max="15874" width="10.140625" customWidth="1"/>
    <col min="15875" max="15875" width="14" customWidth="1"/>
    <col min="15883" max="15883" width="10" bestFit="1" customWidth="1"/>
    <col min="16127" max="16127" width="35.42578125" customWidth="1"/>
    <col min="16128" max="16128" width="10.140625" bestFit="1" customWidth="1"/>
    <col min="16129" max="16129" width="14" customWidth="1"/>
    <col min="16130" max="16130" width="10.140625" customWidth="1"/>
    <col min="16131" max="16131" width="14" customWidth="1"/>
    <col min="16139" max="16139" width="10" bestFit="1" customWidth="1"/>
  </cols>
  <sheetData>
    <row r="1" spans="1:13">
      <c r="B1" s="119" t="s">
        <v>216</v>
      </c>
      <c r="C1" s="119"/>
    </row>
    <row r="2" spans="1:13">
      <c r="B2" s="119" t="s">
        <v>58</v>
      </c>
      <c r="C2" s="119"/>
    </row>
    <row r="3" spans="1:13">
      <c r="B3" s="119" t="s">
        <v>16</v>
      </c>
      <c r="C3" s="119"/>
      <c r="E3" s="2" t="s">
        <v>59</v>
      </c>
      <c r="L3" s="2" t="s">
        <v>92</v>
      </c>
    </row>
    <row r="4" spans="1:13">
      <c r="A4" s="2" t="s">
        <v>11</v>
      </c>
      <c r="B4" s="120"/>
      <c r="C4" s="120"/>
    </row>
    <row r="5" spans="1:13">
      <c r="B5" s="120"/>
      <c r="C5" s="120"/>
    </row>
    <row r="6" spans="1:13">
      <c r="A6" t="s">
        <v>0</v>
      </c>
      <c r="B6" s="114">
        <f>'Disability $ details 05-06'!B6*0.389</f>
        <v>210.06</v>
      </c>
      <c r="C6" s="114" t="s">
        <v>237</v>
      </c>
      <c r="D6" s="22" t="s">
        <v>217</v>
      </c>
      <c r="E6" t="s">
        <v>345</v>
      </c>
      <c r="M6" s="38" t="s">
        <v>344</v>
      </c>
    </row>
    <row r="7" spans="1:13">
      <c r="A7" t="s">
        <v>1</v>
      </c>
      <c r="B7" s="114">
        <f>'Disability $ details 05-06'!B7*0.389</f>
        <v>340.375</v>
      </c>
      <c r="C7" s="114" t="s">
        <v>237</v>
      </c>
      <c r="D7" s="22" t="s">
        <v>217</v>
      </c>
      <c r="E7" s="6" t="s">
        <v>476</v>
      </c>
      <c r="L7" s="29"/>
    </row>
    <row r="8" spans="1:13">
      <c r="A8" t="s">
        <v>14</v>
      </c>
      <c r="B8" s="114">
        <f>'Disability $ details 05-06'!B8*0.389</f>
        <v>33.064999999999998</v>
      </c>
      <c r="C8" s="114" t="s">
        <v>237</v>
      </c>
      <c r="D8" s="22" t="s">
        <v>217</v>
      </c>
      <c r="L8" s="29"/>
    </row>
    <row r="9" spans="1:13">
      <c r="A9" t="s">
        <v>2</v>
      </c>
      <c r="B9" s="114">
        <f>'Disability $ details 05-06'!B9*0.389</f>
        <v>1.9450000000000001</v>
      </c>
      <c r="C9" s="114"/>
      <c r="D9" s="22" t="s">
        <v>217</v>
      </c>
      <c r="L9" s="29"/>
    </row>
    <row r="10" spans="1:13">
      <c r="A10" s="52" t="s">
        <v>273</v>
      </c>
      <c r="B10" s="114">
        <f>'Disability $ details 05-06'!B10*0.389</f>
        <v>0</v>
      </c>
      <c r="C10" s="114" t="s">
        <v>237</v>
      </c>
      <c r="D10" s="22" t="s">
        <v>217</v>
      </c>
      <c r="L10" s="29"/>
    </row>
    <row r="11" spans="1:13">
      <c r="A11" t="s">
        <v>3</v>
      </c>
      <c r="B11" s="114">
        <f>'Disability $ details 05-06'!B11*0.389</f>
        <v>44.734999999999999</v>
      </c>
      <c r="C11" s="114" t="s">
        <v>237</v>
      </c>
      <c r="D11" s="22" t="s">
        <v>217</v>
      </c>
      <c r="L11" s="29"/>
    </row>
    <row r="12" spans="1:13">
      <c r="A12" t="s">
        <v>15</v>
      </c>
      <c r="B12" s="114">
        <f>'Disability $ details 05-06'!B12*0.389</f>
        <v>35.01</v>
      </c>
      <c r="C12" s="114"/>
      <c r="D12" s="22" t="s">
        <v>217</v>
      </c>
      <c r="E12" t="s">
        <v>367</v>
      </c>
      <c r="L12" s="29"/>
    </row>
    <row r="13" spans="1:13">
      <c r="A13" s="3" t="s">
        <v>24</v>
      </c>
      <c r="B13" s="112">
        <f>SUM(B6:B12)</f>
        <v>665.19</v>
      </c>
      <c r="C13" s="112" t="s">
        <v>237</v>
      </c>
      <c r="D13" s="22" t="s">
        <v>217</v>
      </c>
      <c r="K13" s="19"/>
    </row>
    <row r="14" spans="1:13">
      <c r="B14" s="114"/>
      <c r="C14" s="114"/>
      <c r="D14" s="22"/>
    </row>
    <row r="15" spans="1:13">
      <c r="A15" s="2" t="s">
        <v>4</v>
      </c>
      <c r="B15" s="114"/>
      <c r="C15" s="114"/>
      <c r="D15" s="22"/>
    </row>
    <row r="16" spans="1:13">
      <c r="A16" t="s">
        <v>5</v>
      </c>
      <c r="B16" s="114">
        <v>1524.6</v>
      </c>
      <c r="C16" s="114"/>
      <c r="D16" s="22"/>
      <c r="E16" t="s">
        <v>219</v>
      </c>
      <c r="L16" t="s">
        <v>220</v>
      </c>
    </row>
    <row r="17" spans="1:12">
      <c r="A17" t="s">
        <v>69</v>
      </c>
      <c r="B17" s="114"/>
      <c r="C17" s="114"/>
      <c r="D17" s="22"/>
    </row>
    <row r="18" spans="1:12">
      <c r="A18" t="s">
        <v>6</v>
      </c>
      <c r="B18" s="114">
        <v>259.3</v>
      </c>
      <c r="C18" s="114"/>
      <c r="D18" s="22"/>
      <c r="E18" t="s">
        <v>316</v>
      </c>
      <c r="L18" t="s">
        <v>72</v>
      </c>
    </row>
    <row r="19" spans="1:12">
      <c r="A19" s="3" t="s">
        <v>24</v>
      </c>
      <c r="B19" s="112">
        <f>SUM(B16:B18)</f>
        <v>1783.8999999999999</v>
      </c>
      <c r="C19" s="112"/>
      <c r="D19" s="22"/>
    </row>
    <row r="20" spans="1:12">
      <c r="B20" s="114"/>
      <c r="C20" s="114"/>
      <c r="D20" s="22"/>
    </row>
    <row r="21" spans="1:12">
      <c r="A21" t="s">
        <v>101</v>
      </c>
      <c r="B21" s="114">
        <f>'Disability $ details 05-06'!B22*0.341</f>
        <v>564.69600000000003</v>
      </c>
      <c r="C21" s="114"/>
      <c r="D21" s="22"/>
      <c r="E21" t="s">
        <v>471</v>
      </c>
      <c r="L21" t="s">
        <v>102</v>
      </c>
    </row>
    <row r="22" spans="1:12">
      <c r="A22" s="3" t="s">
        <v>221</v>
      </c>
      <c r="B22" s="112">
        <f>SUM(B21)</f>
        <v>564.69600000000003</v>
      </c>
      <c r="C22" s="112"/>
      <c r="D22" s="22"/>
      <c r="E22" t="s">
        <v>470</v>
      </c>
      <c r="L22" t="s">
        <v>103</v>
      </c>
    </row>
    <row r="23" spans="1:12">
      <c r="A23" s="3"/>
      <c r="B23" s="112"/>
      <c r="C23" s="112"/>
      <c r="D23" s="22"/>
    </row>
    <row r="24" spans="1:12">
      <c r="A24" s="2" t="s">
        <v>334</v>
      </c>
      <c r="B24" s="114"/>
      <c r="C24" s="114"/>
      <c r="D24" s="22"/>
      <c r="J24" s="9"/>
    </row>
    <row r="25" spans="1:12">
      <c r="A25" s="103" t="s">
        <v>17</v>
      </c>
      <c r="B25" s="181">
        <f>'SA by provi 05-06'!B16</f>
        <v>2432.5</v>
      </c>
      <c r="C25" s="181" t="s">
        <v>237</v>
      </c>
      <c r="D25" s="192" t="s">
        <v>592</v>
      </c>
      <c r="E25" t="s">
        <v>317</v>
      </c>
      <c r="L25" t="s">
        <v>223</v>
      </c>
    </row>
    <row r="26" spans="1:12">
      <c r="A26" s="103" t="s">
        <v>12</v>
      </c>
      <c r="B26" s="181">
        <f>103.2*0.55</f>
        <v>56.760000000000005</v>
      </c>
      <c r="C26" s="181" t="s">
        <v>437</v>
      </c>
      <c r="D26" s="220" t="s">
        <v>680</v>
      </c>
      <c r="E26" s="52" t="s">
        <v>274</v>
      </c>
    </row>
    <row r="27" spans="1:12">
      <c r="A27" s="115" t="s">
        <v>24</v>
      </c>
      <c r="B27" s="183">
        <f>SUM(B25:B26)</f>
        <v>2489.2600000000002</v>
      </c>
      <c r="C27" s="183"/>
      <c r="D27" s="192" t="s">
        <v>592</v>
      </c>
      <c r="E27" s="52" t="s">
        <v>270</v>
      </c>
    </row>
    <row r="28" spans="1:12">
      <c r="A28" s="3"/>
      <c r="B28" s="112"/>
      <c r="C28" s="112"/>
      <c r="D28" s="22"/>
    </row>
    <row r="29" spans="1:12">
      <c r="A29" s="2" t="s">
        <v>13</v>
      </c>
      <c r="B29" s="114"/>
      <c r="C29" s="114"/>
      <c r="D29" s="22"/>
    </row>
    <row r="30" spans="1:12">
      <c r="A30" t="s">
        <v>7</v>
      </c>
      <c r="B30" s="122">
        <v>2028.5</v>
      </c>
      <c r="C30" s="121"/>
      <c r="D30" s="22">
        <v>2005</v>
      </c>
      <c r="E30" t="s">
        <v>230</v>
      </c>
      <c r="L30" t="s">
        <v>74</v>
      </c>
    </row>
    <row r="31" spans="1:12">
      <c r="B31" s="114"/>
      <c r="C31" s="114"/>
      <c r="D31" s="22"/>
      <c r="E31" s="2" t="s">
        <v>231</v>
      </c>
    </row>
    <row r="32" spans="1:12">
      <c r="A32" t="s">
        <v>8</v>
      </c>
      <c r="B32" s="114"/>
      <c r="C32" s="114"/>
      <c r="D32" s="22"/>
      <c r="E32" t="s">
        <v>70</v>
      </c>
    </row>
    <row r="33" spans="1:12">
      <c r="A33" s="3" t="s">
        <v>57</v>
      </c>
      <c r="B33" s="112">
        <f>SUM(B30:B32)</f>
        <v>2028.5</v>
      </c>
      <c r="C33" s="112"/>
      <c r="D33" s="22"/>
    </row>
    <row r="34" spans="1:12">
      <c r="A34" s="3"/>
      <c r="B34" s="112"/>
      <c r="C34" s="112"/>
      <c r="D34" s="22"/>
    </row>
    <row r="35" spans="1:12">
      <c r="A35" t="s">
        <v>64</v>
      </c>
      <c r="B35" s="114"/>
      <c r="C35" s="114"/>
      <c r="D35" s="22"/>
    </row>
    <row r="36" spans="1:12">
      <c r="A36" t="s">
        <v>9</v>
      </c>
      <c r="B36" s="114">
        <v>405</v>
      </c>
      <c r="C36" s="114" t="s">
        <v>237</v>
      </c>
      <c r="D36" s="22">
        <v>2005</v>
      </c>
      <c r="E36" t="s">
        <v>61</v>
      </c>
      <c r="L36" t="s">
        <v>75</v>
      </c>
    </row>
    <row r="37" spans="1:12">
      <c r="A37" t="s">
        <v>10</v>
      </c>
      <c r="B37" s="114">
        <v>1502</v>
      </c>
      <c r="C37" s="114" t="s">
        <v>237</v>
      </c>
      <c r="D37" s="22"/>
      <c r="E37" t="s">
        <v>224</v>
      </c>
      <c r="L37" t="s">
        <v>378</v>
      </c>
    </row>
    <row r="38" spans="1:12">
      <c r="A38" s="3" t="s">
        <v>24</v>
      </c>
      <c r="B38" s="112">
        <f>SUM(B36:B37)</f>
        <v>1907</v>
      </c>
      <c r="C38" s="112" t="s">
        <v>237</v>
      </c>
      <c r="D38" s="22"/>
    </row>
    <row r="39" spans="1:12">
      <c r="B39" s="114"/>
      <c r="C39" s="114"/>
      <c r="D39" s="22"/>
    </row>
    <row r="40" spans="1:12" ht="15.75">
      <c r="A40" s="4" t="s">
        <v>23</v>
      </c>
      <c r="B40" s="176">
        <f>SUM(B13+B19+B22+B27+B33+B38)</f>
        <v>9438.5460000000003</v>
      </c>
      <c r="C40" s="176" t="s">
        <v>237</v>
      </c>
      <c r="D40" s="192" t="s">
        <v>592</v>
      </c>
      <c r="E40" s="2" t="s">
        <v>232</v>
      </c>
    </row>
    <row r="41" spans="1:12" ht="15.75">
      <c r="A41" s="4"/>
      <c r="B41" s="4"/>
      <c r="C41" s="4"/>
    </row>
    <row r="42" spans="1:12" ht="15.75">
      <c r="A42" s="52"/>
      <c r="B42" s="4"/>
      <c r="C42" s="4"/>
    </row>
    <row r="43" spans="1:12">
      <c r="A43" t="s">
        <v>225</v>
      </c>
    </row>
    <row r="45" spans="1:12">
      <c r="A45" t="s">
        <v>294</v>
      </c>
    </row>
    <row r="46" spans="1:12">
      <c r="A46" s="52" t="s">
        <v>387</v>
      </c>
    </row>
    <row r="47" spans="1:12">
      <c r="A47" s="52" t="s">
        <v>474</v>
      </c>
    </row>
    <row r="49" spans="1:7">
      <c r="A49" s="153" t="s">
        <v>605</v>
      </c>
      <c r="B49" s="153"/>
      <c r="C49" s="153"/>
      <c r="D49" s="153"/>
      <c r="E49" s="153"/>
      <c r="F49" s="153"/>
      <c r="G49" s="153"/>
    </row>
    <row r="50" spans="1:7">
      <c r="A50" s="153" t="s">
        <v>679</v>
      </c>
      <c r="B50" s="153"/>
    </row>
    <row r="53" spans="1:7">
      <c r="B53" s="6"/>
      <c r="C53" s="6"/>
      <c r="E53" s="7"/>
    </row>
    <row r="54" spans="1:7">
      <c r="B54" s="6"/>
      <c r="C54" s="6"/>
      <c r="E54" s="7"/>
    </row>
    <row r="55" spans="1:7">
      <c r="B55" s="6"/>
      <c r="C55" s="6"/>
      <c r="E55" s="7"/>
    </row>
    <row r="56" spans="1:7">
      <c r="B56" s="5"/>
      <c r="C56" s="5"/>
      <c r="E56" s="7"/>
    </row>
    <row r="59" spans="1:7">
      <c r="B59" s="8"/>
      <c r="C59" s="8"/>
    </row>
  </sheetData>
  <hyperlinks>
    <hyperlink ref="M6" r:id="rId1" location="toc6"/>
  </hyperlinks>
  <pageMargins left="0.70866141732283472" right="0.70866141732283472" top="0.74803149606299213" bottom="0.74803149606299213" header="0.31496062992125984" footer="0.31496062992125984"/>
  <pageSetup scale="57" orientation="landscape" verticalDpi="0" r:id="rId2"/>
  <legacyDrawing r:id="rId3"/>
</worksheet>
</file>

<file path=xl/worksheets/sheet21.xml><?xml version="1.0" encoding="utf-8"?>
<worksheet xmlns="http://schemas.openxmlformats.org/spreadsheetml/2006/main" xmlns:r="http://schemas.openxmlformats.org/officeDocument/2006/relationships">
  <sheetPr>
    <tabColor rgb="FFFF0000"/>
  </sheetPr>
  <dimension ref="A1:J120"/>
  <sheetViews>
    <sheetView topLeftCell="A68" workbookViewId="0">
      <selection activeCell="A38" sqref="A38:D83"/>
    </sheetView>
  </sheetViews>
  <sheetFormatPr defaultRowHeight="12.75"/>
  <cols>
    <col min="1" max="1" width="33.7109375" customWidth="1"/>
    <col min="2" max="2" width="10.7109375" customWidth="1"/>
    <col min="4" max="4" width="86.5703125" customWidth="1"/>
    <col min="5" max="5" width="30.7109375" customWidth="1"/>
  </cols>
  <sheetData>
    <row r="1" spans="1:10" ht="15.75">
      <c r="A1" s="39"/>
      <c r="B1" s="40" t="s">
        <v>824</v>
      </c>
      <c r="C1" s="41"/>
      <c r="D1" s="42"/>
    </row>
    <row r="2" spans="1:10" ht="15.75">
      <c r="A2" s="39"/>
      <c r="B2" s="40" t="s">
        <v>16</v>
      </c>
      <c r="C2" s="41"/>
      <c r="D2" s="42"/>
    </row>
    <row r="3" spans="1:10">
      <c r="A3" s="39"/>
      <c r="B3" s="39"/>
      <c r="C3" s="39"/>
      <c r="D3" s="43"/>
    </row>
    <row r="4" spans="1:10" ht="25.5">
      <c r="A4" s="39" t="s">
        <v>28</v>
      </c>
      <c r="B4" s="44">
        <v>225.6</v>
      </c>
      <c r="C4" s="44"/>
      <c r="D4" s="234" t="s">
        <v>941</v>
      </c>
      <c r="E4" s="38" t="s">
        <v>827</v>
      </c>
    </row>
    <row r="5" spans="1:10" ht="25.5">
      <c r="A5" s="39" t="s">
        <v>29</v>
      </c>
      <c r="B5" s="44">
        <v>33</v>
      </c>
      <c r="C5" s="122"/>
      <c r="D5" s="125" t="s">
        <v>831</v>
      </c>
      <c r="E5" s="110" t="s">
        <v>830</v>
      </c>
    </row>
    <row r="6" spans="1:10" ht="25.5">
      <c r="A6" s="39" t="s">
        <v>30</v>
      </c>
      <c r="B6" s="44">
        <v>253.7</v>
      </c>
      <c r="C6" s="44"/>
      <c r="D6" s="234" t="s">
        <v>942</v>
      </c>
      <c r="E6" s="38" t="s">
        <v>832</v>
      </c>
    </row>
    <row r="7" spans="1:10">
      <c r="A7" s="39" t="s">
        <v>31</v>
      </c>
      <c r="B7" s="45"/>
      <c r="C7" s="45"/>
      <c r="D7" s="43"/>
    </row>
    <row r="8" spans="1:10" ht="25.5">
      <c r="A8" s="39" t="s">
        <v>112</v>
      </c>
      <c r="B8" s="45">
        <v>132.5</v>
      </c>
      <c r="C8" s="45"/>
      <c r="D8" s="234" t="s">
        <v>877</v>
      </c>
    </row>
    <row r="9" spans="1:10">
      <c r="A9" s="39" t="s">
        <v>113</v>
      </c>
      <c r="B9" s="45">
        <v>44.5</v>
      </c>
      <c r="C9" s="45"/>
      <c r="D9" s="234" t="s">
        <v>878</v>
      </c>
    </row>
    <row r="10" spans="1:10">
      <c r="A10" s="39" t="s">
        <v>114</v>
      </c>
      <c r="B10" s="45">
        <v>23.4</v>
      </c>
      <c r="C10" s="45"/>
      <c r="D10" s="43"/>
    </row>
    <row r="11" spans="1:10">
      <c r="A11" s="39"/>
      <c r="B11" s="44">
        <f>SUM(B8:B10)</f>
        <v>200.4</v>
      </c>
      <c r="C11" s="44"/>
      <c r="D11" s="234"/>
      <c r="E11" s="38" t="s">
        <v>726</v>
      </c>
    </row>
    <row r="12" spans="1:10" ht="25.5">
      <c r="A12" s="39" t="s">
        <v>32</v>
      </c>
      <c r="B12" s="44">
        <v>2951.2</v>
      </c>
      <c r="C12" s="39"/>
      <c r="D12" s="43" t="s">
        <v>838</v>
      </c>
      <c r="E12" s="38" t="s">
        <v>837</v>
      </c>
    </row>
    <row r="13" spans="1:10">
      <c r="A13" s="39" t="s">
        <v>33</v>
      </c>
      <c r="B13" s="45"/>
      <c r="C13" s="39"/>
      <c r="D13" s="43"/>
    </row>
    <row r="14" spans="1:10">
      <c r="A14" s="39" t="s">
        <v>115</v>
      </c>
      <c r="B14" s="45">
        <f>(C14/88.6)*100</f>
        <v>2538.713318284425</v>
      </c>
      <c r="C14" s="39">
        <v>2249.3000000000002</v>
      </c>
      <c r="D14" s="106" t="s">
        <v>842</v>
      </c>
      <c r="E14" s="38" t="s">
        <v>840</v>
      </c>
    </row>
    <row r="15" spans="1:10">
      <c r="A15" s="39" t="s">
        <v>116</v>
      </c>
      <c r="B15" s="45">
        <f>C15</f>
        <v>4165.7</v>
      </c>
      <c r="C15" s="39">
        <v>4165.7</v>
      </c>
      <c r="D15" s="43" t="s">
        <v>597</v>
      </c>
    </row>
    <row r="16" spans="1:10" ht="14.25" customHeight="1">
      <c r="A16" s="39"/>
      <c r="B16" s="44">
        <f>SUM(B14:B15)</f>
        <v>6704.4133182844253</v>
      </c>
      <c r="C16" s="44">
        <f>SUM(C14:C15)</f>
        <v>6415</v>
      </c>
      <c r="D16" s="234" t="s">
        <v>839</v>
      </c>
      <c r="E16" s="38" t="s">
        <v>840</v>
      </c>
      <c r="J16" s="261"/>
    </row>
    <row r="17" spans="1:5">
      <c r="A17" s="39" t="s">
        <v>34</v>
      </c>
      <c r="B17" s="45"/>
      <c r="C17" s="45"/>
      <c r="D17" s="43"/>
    </row>
    <row r="18" spans="1:5">
      <c r="A18" s="39" t="s">
        <v>133</v>
      </c>
      <c r="B18" s="45">
        <v>315.3</v>
      </c>
      <c r="C18" s="45"/>
      <c r="D18" s="234" t="s">
        <v>846</v>
      </c>
      <c r="E18" s="38" t="s">
        <v>872</v>
      </c>
    </row>
    <row r="19" spans="1:5">
      <c r="A19" s="39" t="s">
        <v>117</v>
      </c>
      <c r="B19" s="45">
        <v>25.2</v>
      </c>
      <c r="C19" s="45"/>
      <c r="D19" s="43"/>
    </row>
    <row r="20" spans="1:5">
      <c r="A20" s="39"/>
      <c r="B20" s="44">
        <f>SUM(B18:B19)</f>
        <v>340.5</v>
      </c>
      <c r="C20" s="44"/>
      <c r="D20" s="39"/>
    </row>
    <row r="21" spans="1:5">
      <c r="A21" s="39" t="s">
        <v>48</v>
      </c>
      <c r="B21" s="44"/>
      <c r="C21" s="44"/>
      <c r="D21" s="39"/>
    </row>
    <row r="22" spans="1:5">
      <c r="A22" s="39" t="s">
        <v>122</v>
      </c>
      <c r="B22" s="45">
        <v>161.30000000000001</v>
      </c>
      <c r="C22" s="44"/>
      <c r="D22" s="234" t="s">
        <v>851</v>
      </c>
      <c r="E22" s="38" t="s">
        <v>850</v>
      </c>
    </row>
    <row r="23" spans="1:5">
      <c r="A23" s="39" t="s">
        <v>123</v>
      </c>
      <c r="B23" s="45">
        <v>17.899999999999999</v>
      </c>
      <c r="C23" s="44"/>
      <c r="D23" s="43"/>
    </row>
    <row r="24" spans="1:5">
      <c r="A24" s="39"/>
      <c r="B24" s="44">
        <f>SUM(B22:B23)</f>
        <v>179.20000000000002</v>
      </c>
      <c r="C24" s="44"/>
      <c r="D24" s="39"/>
    </row>
    <row r="25" spans="1:5">
      <c r="A25" s="39" t="s">
        <v>35</v>
      </c>
      <c r="B25" s="45"/>
      <c r="C25" s="45"/>
      <c r="D25" s="43"/>
    </row>
    <row r="26" spans="1:5" ht="25.5">
      <c r="A26" s="39" t="s">
        <v>124</v>
      </c>
      <c r="B26" s="45">
        <v>190.5</v>
      </c>
      <c r="C26" s="45"/>
      <c r="D26" s="125" t="s">
        <v>857</v>
      </c>
      <c r="E26" s="38" t="s">
        <v>856</v>
      </c>
    </row>
    <row r="27" spans="1:5">
      <c r="A27" s="39" t="s">
        <v>125</v>
      </c>
      <c r="B27" s="45">
        <v>52</v>
      </c>
      <c r="C27" s="45"/>
      <c r="D27" s="43"/>
    </row>
    <row r="28" spans="1:5">
      <c r="A28" s="39" t="s">
        <v>398</v>
      </c>
      <c r="B28" s="45">
        <v>203.9</v>
      </c>
      <c r="C28" s="45"/>
      <c r="D28" s="43"/>
    </row>
    <row r="29" spans="1:5">
      <c r="A29" s="39" t="s">
        <v>119</v>
      </c>
      <c r="B29" s="45">
        <v>0.2</v>
      </c>
      <c r="C29" s="45"/>
      <c r="D29" s="43"/>
    </row>
    <row r="30" spans="1:5">
      <c r="A30" s="39"/>
      <c r="B30" s="44">
        <f>SUM(B26:B29)</f>
        <v>446.59999999999997</v>
      </c>
      <c r="C30" s="44"/>
      <c r="D30" s="39"/>
    </row>
    <row r="31" spans="1:5">
      <c r="A31" s="39" t="s">
        <v>36</v>
      </c>
      <c r="B31" s="45"/>
      <c r="C31" s="45"/>
      <c r="D31" s="43"/>
    </row>
    <row r="32" spans="1:5" ht="38.25">
      <c r="A32" s="39" t="s">
        <v>120</v>
      </c>
      <c r="B32" s="45">
        <v>370.9</v>
      </c>
      <c r="C32" s="45"/>
      <c r="D32" s="234" t="s">
        <v>873</v>
      </c>
      <c r="E32" s="38"/>
    </row>
    <row r="33" spans="1:5">
      <c r="A33" s="39" t="s">
        <v>121</v>
      </c>
      <c r="B33" s="45">
        <v>905.5</v>
      </c>
      <c r="C33" s="45"/>
      <c r="D33" s="43"/>
    </row>
    <row r="34" spans="1:5">
      <c r="A34" s="39"/>
      <c r="B34" s="44">
        <f>SUM(B32:B33)</f>
        <v>1276.4000000000001</v>
      </c>
      <c r="C34" s="44"/>
      <c r="D34" s="39"/>
    </row>
    <row r="35" spans="1:5" ht="25.5">
      <c r="A35" s="39" t="s">
        <v>37</v>
      </c>
      <c r="B35" s="45">
        <v>14.2</v>
      </c>
      <c r="C35" s="45"/>
      <c r="D35" s="234" t="s">
        <v>862</v>
      </c>
      <c r="E35" s="38" t="s">
        <v>863</v>
      </c>
    </row>
    <row r="36" spans="1:5">
      <c r="A36" s="39" t="s">
        <v>38</v>
      </c>
      <c r="B36" s="45">
        <v>28</v>
      </c>
      <c r="C36" s="45"/>
      <c r="D36" s="52" t="s">
        <v>874</v>
      </c>
      <c r="E36" s="38" t="s">
        <v>866</v>
      </c>
    </row>
    <row r="37" spans="1:5" ht="25.5">
      <c r="A37" s="39" t="s">
        <v>39</v>
      </c>
      <c r="B37" s="45">
        <v>39.4</v>
      </c>
      <c r="C37" s="45"/>
      <c r="D37" s="234" t="s">
        <v>875</v>
      </c>
      <c r="E37" s="38" t="s">
        <v>867</v>
      </c>
    </row>
    <row r="38" spans="1:5" ht="15.75">
      <c r="A38" s="48" t="s">
        <v>55</v>
      </c>
      <c r="B38" s="49">
        <f>B4+B5+B6+B11+B12+B16+B20+B24+B30+B34+B35+B36+B37</f>
        <v>12692.613318284426</v>
      </c>
      <c r="C38" s="44"/>
      <c r="D38" s="43"/>
    </row>
    <row r="39" spans="1:5">
      <c r="A39" s="50"/>
      <c r="B39" s="44"/>
      <c r="C39" s="44"/>
      <c r="D39" s="43"/>
    </row>
    <row r="40" spans="1:5" ht="15.75">
      <c r="A40" s="48" t="s">
        <v>62</v>
      </c>
      <c r="B40" s="49">
        <f>'SA $ by prov 12-13'!B40*1.025</f>
        <v>882.31999999999982</v>
      </c>
      <c r="C40" s="45"/>
      <c r="D40" s="125" t="s">
        <v>876</v>
      </c>
    </row>
    <row r="41" spans="1:5" ht="15.75">
      <c r="A41" s="39"/>
      <c r="B41" s="49"/>
      <c r="C41" s="45"/>
      <c r="D41" s="43"/>
    </row>
    <row r="42" spans="1:5" ht="26.25">
      <c r="A42" s="48" t="s">
        <v>52</v>
      </c>
      <c r="B42" s="49">
        <v>858</v>
      </c>
      <c r="C42" s="39"/>
      <c r="D42" s="125" t="s">
        <v>857</v>
      </c>
      <c r="E42" s="38" t="s">
        <v>856</v>
      </c>
    </row>
    <row r="43" spans="1:5" ht="31.5">
      <c r="A43" s="290" t="s">
        <v>880</v>
      </c>
      <c r="B43" s="49">
        <v>157.5</v>
      </c>
      <c r="C43" s="39"/>
      <c r="D43" s="234" t="s">
        <v>881</v>
      </c>
      <c r="E43" s="38" t="s">
        <v>850</v>
      </c>
    </row>
    <row r="44" spans="1:5">
      <c r="A44" s="274"/>
      <c r="B44" s="39"/>
      <c r="C44" s="39"/>
      <c r="D44" s="39"/>
    </row>
    <row r="45" spans="1:5" ht="15.75">
      <c r="A45" s="48" t="s">
        <v>23</v>
      </c>
      <c r="B45" s="28">
        <f>B38+B40+B42+B43</f>
        <v>14590.433318284426</v>
      </c>
      <c r="C45" s="39"/>
      <c r="D45" s="39"/>
    </row>
    <row r="46" spans="1:5">
      <c r="A46" s="39"/>
      <c r="B46" s="39"/>
      <c r="C46" s="39"/>
      <c r="D46" s="39"/>
    </row>
    <row r="48" spans="1:5">
      <c r="A48" s="53" t="s">
        <v>199</v>
      </c>
    </row>
    <row r="49" spans="1:5">
      <c r="A49" s="30" t="s">
        <v>275</v>
      </c>
    </row>
    <row r="50" spans="1:5">
      <c r="A50" s="30" t="s">
        <v>1025</v>
      </c>
    </row>
    <row r="51" spans="1:5">
      <c r="A51" s="184" t="s">
        <v>1026</v>
      </c>
      <c r="B51" s="30"/>
      <c r="C51" s="30"/>
      <c r="D51" s="30"/>
    </row>
    <row r="54" spans="1:5" ht="15">
      <c r="A54" s="18" t="s">
        <v>882</v>
      </c>
      <c r="B54" s="9"/>
      <c r="C54" s="9"/>
    </row>
    <row r="55" spans="1:5">
      <c r="A55" t="s">
        <v>52</v>
      </c>
      <c r="B55" s="102">
        <f>B42</f>
        <v>858</v>
      </c>
      <c r="C55" s="9"/>
    </row>
    <row r="56" spans="1:5">
      <c r="A56" s="234" t="s">
        <v>880</v>
      </c>
      <c r="B56" s="102">
        <f>B43</f>
        <v>157.5</v>
      </c>
      <c r="C56" s="9"/>
    </row>
    <row r="57" spans="1:5">
      <c r="A57" t="s">
        <v>56</v>
      </c>
      <c r="B57" s="126">
        <f>B38*0.59</f>
        <v>7488.6418577878112</v>
      </c>
      <c r="D57" s="258" t="s">
        <v>888</v>
      </c>
    </row>
    <row r="58" spans="1:5">
      <c r="B58" s="126"/>
      <c r="D58" s="258"/>
    </row>
    <row r="59" spans="1:5">
      <c r="B59" s="127">
        <f>SUM(B55:B57)</f>
        <v>8504.1418577878103</v>
      </c>
      <c r="C59" s="8"/>
      <c r="D59" s="39"/>
      <c r="E59" t="e">
        <f>#REF!*0.59</f>
        <v>#REF!</v>
      </c>
    </row>
    <row r="60" spans="1:5">
      <c r="A60" t="s">
        <v>27</v>
      </c>
      <c r="B60" s="126">
        <f>B40*0.59</f>
        <v>520.5687999999999</v>
      </c>
      <c r="D60" s="258" t="s">
        <v>889</v>
      </c>
    </row>
    <row r="61" spans="1:5">
      <c r="B61" s="126">
        <f>SUM(B59:B60)</f>
        <v>9024.7106577878094</v>
      </c>
    </row>
    <row r="62" spans="1:5">
      <c r="B62" s="19"/>
    </row>
    <row r="64" spans="1:5">
      <c r="A64" s="3" t="s">
        <v>557</v>
      </c>
      <c r="B64" s="3"/>
      <c r="C64" s="3"/>
      <c r="D64" s="3"/>
      <c r="E64" s="9"/>
    </row>
    <row r="65" spans="1:4">
      <c r="A65" s="3" t="s">
        <v>26</v>
      </c>
      <c r="B65" s="3"/>
      <c r="C65" s="3"/>
      <c r="D65" s="3"/>
    </row>
    <row r="67" spans="1:4">
      <c r="A67" t="s">
        <v>19</v>
      </c>
      <c r="B67" s="9">
        <f>B14</f>
        <v>2538.713318284425</v>
      </c>
    </row>
    <row r="68" spans="1:4">
      <c r="A68" s="30" t="s">
        <v>20</v>
      </c>
      <c r="B68" s="31">
        <f>B15</f>
        <v>4165.7</v>
      </c>
      <c r="C68" s="315">
        <f>B68/B69</f>
        <v>0.62133699135750031</v>
      </c>
      <c r="D68" t="s">
        <v>707</v>
      </c>
    </row>
    <row r="69" spans="1:4">
      <c r="B69" s="21">
        <f>SUM(B67:B68)</f>
        <v>6704.4133182844253</v>
      </c>
      <c r="C69" s="3"/>
      <c r="D69" s="15"/>
    </row>
    <row r="70" spans="1:4">
      <c r="A70" t="s">
        <v>21</v>
      </c>
      <c r="B70" s="9">
        <f>B32</f>
        <v>370.9</v>
      </c>
      <c r="D70" s="15"/>
    </row>
    <row r="71" spans="1:4">
      <c r="A71" s="30" t="s">
        <v>22</v>
      </c>
      <c r="B71" s="31">
        <f>B33</f>
        <v>905.5</v>
      </c>
      <c r="D71" s="15"/>
    </row>
    <row r="72" spans="1:4">
      <c r="B72" s="21">
        <f>SUM(B70:B71)</f>
        <v>1276.4000000000001</v>
      </c>
      <c r="C72" s="315">
        <f>B71/B72</f>
        <v>0.70941711062362889</v>
      </c>
    </row>
    <row r="73" spans="1:4">
      <c r="A73" s="30" t="s">
        <v>144</v>
      </c>
      <c r="B73" s="30">
        <v>168.3</v>
      </c>
      <c r="D73" s="38" t="s">
        <v>872</v>
      </c>
    </row>
    <row r="74" spans="1:4">
      <c r="A74" s="30"/>
      <c r="B74" s="30"/>
      <c r="D74" t="s">
        <v>704</v>
      </c>
    </row>
    <row r="75" spans="1:4">
      <c r="A75" s="30" t="s">
        <v>145</v>
      </c>
      <c r="B75" s="31">
        <f>B19</f>
        <v>25.2</v>
      </c>
      <c r="D75" t="s">
        <v>705</v>
      </c>
    </row>
    <row r="76" spans="1:4">
      <c r="A76" t="s">
        <v>210</v>
      </c>
      <c r="B76" s="21">
        <f>B20</f>
        <v>340.5</v>
      </c>
      <c r="C76" s="315">
        <f>(B73+B75)/B76</f>
        <v>0.56828193832599116</v>
      </c>
    </row>
    <row r="77" spans="1:4">
      <c r="A77" t="s">
        <v>147</v>
      </c>
      <c r="B77">
        <v>131.4</v>
      </c>
      <c r="D77" s="52" t="s">
        <v>883</v>
      </c>
    </row>
    <row r="78" spans="1:4">
      <c r="A78" s="30" t="s">
        <v>148</v>
      </c>
      <c r="B78" s="30">
        <v>110.5</v>
      </c>
      <c r="D78" s="38" t="s">
        <v>551</v>
      </c>
    </row>
    <row r="79" spans="1:4">
      <c r="B79" s="3">
        <f>SUM(B77:B78)</f>
        <v>241.9</v>
      </c>
      <c r="C79" s="315">
        <f>B78/B79</f>
        <v>0.45680033071517157</v>
      </c>
      <c r="D79" s="52" t="s">
        <v>884</v>
      </c>
    </row>
    <row r="80" spans="1:4">
      <c r="A80" s="52" t="s">
        <v>985</v>
      </c>
      <c r="B80" s="9">
        <f>B22</f>
        <v>161.30000000000001</v>
      </c>
    </row>
    <row r="81" spans="1:5">
      <c r="A81" s="52" t="s">
        <v>1027</v>
      </c>
      <c r="B81" s="9">
        <f>B23</f>
        <v>17.899999999999999</v>
      </c>
    </row>
    <row r="82" spans="1:5">
      <c r="A82" s="52" t="s">
        <v>993</v>
      </c>
      <c r="B82" s="309">
        <f>B80*C82</f>
        <v>73.068900000000014</v>
      </c>
      <c r="C82" s="311">
        <v>0.45300000000000001</v>
      </c>
      <c r="D82" s="52" t="s">
        <v>984</v>
      </c>
    </row>
    <row r="83" spans="1:5">
      <c r="C83" s="316">
        <f>B82/(B80+B81)</f>
        <v>0.40775055803571431</v>
      </c>
      <c r="D83" s="52" t="s">
        <v>1024</v>
      </c>
    </row>
    <row r="85" spans="1:5">
      <c r="A85" s="3" t="s">
        <v>163</v>
      </c>
    </row>
    <row r="86" spans="1:5">
      <c r="A86" s="30" t="s">
        <v>32</v>
      </c>
      <c r="B86" s="31">
        <f>C79*B12</f>
        <v>1348.1091360066143</v>
      </c>
      <c r="D86" s="52" t="s">
        <v>885</v>
      </c>
    </row>
    <row r="87" spans="1:5">
      <c r="A87" s="184" t="s">
        <v>33</v>
      </c>
      <c r="B87" s="185">
        <f>B68</f>
        <v>4165.7</v>
      </c>
    </row>
    <row r="88" spans="1:5">
      <c r="A88" s="30" t="s">
        <v>150</v>
      </c>
      <c r="B88" s="31">
        <f>B73+B75</f>
        <v>193.5</v>
      </c>
    </row>
    <row r="89" spans="1:5">
      <c r="A89" s="30" t="s">
        <v>36</v>
      </c>
      <c r="B89" s="31">
        <f>B71</f>
        <v>905.5</v>
      </c>
    </row>
    <row r="90" spans="1:5">
      <c r="A90" s="30" t="s">
        <v>48</v>
      </c>
      <c r="B90" s="31">
        <f>B82</f>
        <v>73.068900000000014</v>
      </c>
    </row>
    <row r="91" spans="1:5">
      <c r="A91" s="52" t="s">
        <v>987</v>
      </c>
      <c r="B91" s="31">
        <f>SUM(B86:B90)</f>
        <v>6685.8780360066139</v>
      </c>
    </row>
    <row r="92" spans="1:5">
      <c r="A92" s="305" t="s">
        <v>988</v>
      </c>
      <c r="B92" s="9">
        <f>B12+B16+B20+B34+B24</f>
        <v>11451.713318284425</v>
      </c>
    </row>
    <row r="93" spans="1:5" ht="18">
      <c r="A93" s="30" t="s">
        <v>153</v>
      </c>
      <c r="B93" s="32">
        <f>B91/B92</f>
        <v>0.58383211753402697</v>
      </c>
      <c r="D93" s="259" t="s">
        <v>887</v>
      </c>
      <c r="E93" s="260"/>
    </row>
    <row r="94" spans="1:5">
      <c r="D94" s="39"/>
      <c r="E94" s="39"/>
    </row>
    <row r="96" spans="1:5">
      <c r="A96" s="170" t="s">
        <v>886</v>
      </c>
    </row>
    <row r="97" spans="1:4">
      <c r="A97" s="50"/>
      <c r="B97" s="39"/>
      <c r="C97" s="39"/>
      <c r="D97" s="39"/>
    </row>
    <row r="98" spans="1:4">
      <c r="A98" s="50"/>
      <c r="B98" s="39"/>
      <c r="C98" s="39"/>
      <c r="D98" s="39"/>
    </row>
    <row r="100" spans="1:4" ht="15.75">
      <c r="A100" s="210" t="s">
        <v>626</v>
      </c>
      <c r="B100" s="48"/>
      <c r="C100" s="39"/>
      <c r="D100" s="50"/>
    </row>
    <row r="101" spans="1:4">
      <c r="B101" s="106" t="s">
        <v>633</v>
      </c>
      <c r="C101" s="106" t="s">
        <v>634</v>
      </c>
      <c r="D101" s="39"/>
    </row>
    <row r="102" spans="1:4">
      <c r="A102" t="s">
        <v>627</v>
      </c>
      <c r="B102" s="45">
        <f>NFLD!B238</f>
        <v>56.4</v>
      </c>
      <c r="C102" s="39"/>
      <c r="D102" s="39"/>
    </row>
    <row r="103" spans="1:4">
      <c r="A103" t="s">
        <v>628</v>
      </c>
      <c r="B103" s="45">
        <f>PEI!B238</f>
        <v>19.47</v>
      </c>
      <c r="C103" s="39"/>
      <c r="D103" s="39"/>
    </row>
    <row r="104" spans="1:4">
      <c r="A104" s="52" t="s">
        <v>629</v>
      </c>
      <c r="B104" s="45">
        <f>NS!B240</f>
        <v>149.68299999999999</v>
      </c>
      <c r="C104" s="39"/>
      <c r="D104" s="39"/>
    </row>
    <row r="105" spans="1:4" ht="20.25">
      <c r="A105" t="s">
        <v>630</v>
      </c>
      <c r="B105" s="45">
        <f>NB!B230</f>
        <v>44.5</v>
      </c>
      <c r="C105" s="39"/>
      <c r="D105" s="313"/>
    </row>
    <row r="106" spans="1:4">
      <c r="A106" s="52" t="s">
        <v>632</v>
      </c>
      <c r="B106" s="45">
        <f>QUE!B241</f>
        <v>1348.1091360066143</v>
      </c>
      <c r="C106" s="39"/>
      <c r="D106" s="39"/>
    </row>
    <row r="107" spans="1:4">
      <c r="A107" t="s">
        <v>216</v>
      </c>
      <c r="B107" s="45">
        <f>'ONT Disability details 13-14'!B27</f>
        <v>4165.7</v>
      </c>
      <c r="C107" s="39"/>
      <c r="D107" s="39"/>
    </row>
    <row r="108" spans="1:4">
      <c r="A108" t="s">
        <v>320</v>
      </c>
      <c r="B108" s="45">
        <f>Manitoba!B233</f>
        <v>193.5</v>
      </c>
      <c r="C108" s="39"/>
      <c r="D108" s="39"/>
    </row>
    <row r="109" spans="1:4">
      <c r="A109" t="s">
        <v>631</v>
      </c>
      <c r="B109" s="45">
        <f>SASK!B238</f>
        <v>73.068900000000014</v>
      </c>
      <c r="C109" s="39"/>
      <c r="D109" s="39"/>
    </row>
    <row r="110" spans="1:4">
      <c r="A110" t="s">
        <v>411</v>
      </c>
      <c r="B110" s="45">
        <f>Alberta!B241</f>
        <v>203.9</v>
      </c>
      <c r="C110" s="39"/>
      <c r="D110" s="39"/>
    </row>
    <row r="111" spans="1:4">
      <c r="A111" t="s">
        <v>36</v>
      </c>
      <c r="B111" s="45">
        <f>BC!B233</f>
        <v>905.5</v>
      </c>
      <c r="C111" s="39"/>
      <c r="D111" s="39"/>
    </row>
    <row r="112" spans="1:4" ht="15.75">
      <c r="B112" s="45">
        <f>SUM(B102:B111)</f>
        <v>7159.8310360066134</v>
      </c>
      <c r="C112" s="45">
        <f>B38</f>
        <v>12692.613318284426</v>
      </c>
      <c r="D112" s="314">
        <f>B112/C112</f>
        <v>0.56409431662843401</v>
      </c>
    </row>
    <row r="113" spans="1:4" ht="15.75">
      <c r="A113" s="52" t="s">
        <v>635</v>
      </c>
      <c r="B113" s="45">
        <f>B42</f>
        <v>858</v>
      </c>
      <c r="C113" s="45">
        <f>B42</f>
        <v>858</v>
      </c>
      <c r="D113" s="314"/>
    </row>
    <row r="114" spans="1:4" ht="15.75">
      <c r="A114" s="52" t="s">
        <v>1010</v>
      </c>
      <c r="B114" s="45">
        <f>B43</f>
        <v>157.5</v>
      </c>
      <c r="C114" s="45">
        <f>B43</f>
        <v>157.5</v>
      </c>
      <c r="D114" s="314"/>
    </row>
    <row r="115" spans="1:4" ht="15.75">
      <c r="B115" s="45">
        <f>SUM(B112:B114)</f>
        <v>8175.3310360066134</v>
      </c>
      <c r="C115" s="45">
        <f>SUM(C112:C114)</f>
        <v>13708.113318284426</v>
      </c>
      <c r="D115" s="314">
        <f>B115/C115</f>
        <v>0.59638630394906589</v>
      </c>
    </row>
    <row r="120" spans="1:4">
      <c r="D120" t="s">
        <v>418</v>
      </c>
    </row>
  </sheetData>
  <hyperlinks>
    <hyperlink ref="D78" r:id="rId1"/>
    <hyperlink ref="E4" r:id="rId2"/>
    <hyperlink ref="E5" r:id="rId3"/>
    <hyperlink ref="E22" r:id="rId4"/>
    <hyperlink ref="E26" r:id="rId5"/>
    <hyperlink ref="E35" r:id="rId6"/>
    <hyperlink ref="E36" r:id="rId7"/>
    <hyperlink ref="E43" r:id="rId8"/>
    <hyperlink ref="E18" r:id="rId9"/>
    <hyperlink ref="E12" r:id="rId10"/>
    <hyperlink ref="E14" r:id="rId11"/>
    <hyperlink ref="E16" r:id="rId12"/>
    <hyperlink ref="E37" r:id="rId13"/>
  </hyperlinks>
  <pageMargins left="0.70866141732283472" right="0.70866141732283472" top="0.74803149606299213" bottom="0.74803149606299213" header="0.31496062992125984" footer="0.31496062992125984"/>
  <pageSetup scale="80" orientation="landscape" verticalDpi="0" r:id="rId14"/>
</worksheet>
</file>

<file path=xl/worksheets/sheet22.xml><?xml version="1.0" encoding="utf-8"?>
<worksheet xmlns="http://schemas.openxmlformats.org/spreadsheetml/2006/main" xmlns:r="http://schemas.openxmlformats.org/officeDocument/2006/relationships">
  <sheetPr>
    <tabColor rgb="FFFF0000"/>
  </sheetPr>
  <dimension ref="A1:J119"/>
  <sheetViews>
    <sheetView topLeftCell="A55" workbookViewId="0">
      <selection activeCell="A87" sqref="A87"/>
    </sheetView>
  </sheetViews>
  <sheetFormatPr defaultRowHeight="12.75"/>
  <cols>
    <col min="1" max="1" width="33.7109375" customWidth="1"/>
    <col min="2" max="3" width="10.7109375" customWidth="1"/>
    <col min="4" max="4" width="86.5703125" customWidth="1"/>
    <col min="5" max="5" width="30.7109375" customWidth="1"/>
  </cols>
  <sheetData>
    <row r="1" spans="1:10" ht="15.75">
      <c r="A1" s="39"/>
      <c r="B1" s="40" t="s">
        <v>823</v>
      </c>
      <c r="C1" s="40"/>
      <c r="D1" s="42"/>
    </row>
    <row r="2" spans="1:10" ht="15.75">
      <c r="A2" s="39"/>
      <c r="B2" s="40" t="s">
        <v>16</v>
      </c>
      <c r="C2" s="40"/>
      <c r="D2" s="42"/>
    </row>
    <row r="3" spans="1:10">
      <c r="A3" s="39"/>
      <c r="B3" s="39"/>
      <c r="C3" s="39"/>
      <c r="D3" s="43"/>
    </row>
    <row r="4" spans="1:10" ht="25.5">
      <c r="A4" s="39" t="s">
        <v>28</v>
      </c>
      <c r="B4" s="44">
        <v>229.1</v>
      </c>
      <c r="C4" s="39"/>
      <c r="D4" s="234" t="s">
        <v>825</v>
      </c>
      <c r="E4" s="38" t="s">
        <v>826</v>
      </c>
    </row>
    <row r="5" spans="1:10" ht="25.5">
      <c r="A5" s="39" t="s">
        <v>29</v>
      </c>
      <c r="B5" s="44">
        <v>33.1</v>
      </c>
      <c r="C5" s="39"/>
      <c r="D5" s="125" t="s">
        <v>829</v>
      </c>
      <c r="E5" s="110" t="s">
        <v>828</v>
      </c>
    </row>
    <row r="6" spans="1:10" ht="25.5">
      <c r="A6" s="39" t="s">
        <v>30</v>
      </c>
      <c r="B6" s="44">
        <v>266.5</v>
      </c>
      <c r="C6" s="39"/>
      <c r="D6" s="234" t="s">
        <v>937</v>
      </c>
      <c r="E6" s="38" t="s">
        <v>936</v>
      </c>
    </row>
    <row r="7" spans="1:10">
      <c r="A7" s="39" t="s">
        <v>31</v>
      </c>
      <c r="B7" s="45"/>
      <c r="C7" s="39"/>
      <c r="D7" s="43"/>
    </row>
    <row r="8" spans="1:10">
      <c r="A8" s="39" t="s">
        <v>112</v>
      </c>
      <c r="B8" s="45">
        <v>132.30000000000001</v>
      </c>
      <c r="C8" s="39"/>
      <c r="D8" s="43"/>
    </row>
    <row r="9" spans="1:10">
      <c r="A9" s="39" t="s">
        <v>113</v>
      </c>
      <c r="B9" s="45">
        <v>43.3</v>
      </c>
      <c r="C9" s="39"/>
      <c r="D9" s="43"/>
    </row>
    <row r="10" spans="1:10">
      <c r="A10" s="39" t="s">
        <v>114</v>
      </c>
      <c r="B10" s="45">
        <v>25.3</v>
      </c>
      <c r="C10" s="39"/>
      <c r="D10" s="43"/>
    </row>
    <row r="11" spans="1:10">
      <c r="A11" s="39"/>
      <c r="B11" s="44">
        <f>SUM(B8:B10)</f>
        <v>200.90000000000003</v>
      </c>
      <c r="C11" s="39"/>
      <c r="D11" s="234" t="s">
        <v>834</v>
      </c>
      <c r="E11" s="38" t="s">
        <v>833</v>
      </c>
    </row>
    <row r="12" spans="1:10" ht="25.5">
      <c r="A12" s="39" t="s">
        <v>32</v>
      </c>
      <c r="B12" s="44">
        <v>2927</v>
      </c>
      <c r="C12" s="39"/>
      <c r="D12" s="43" t="s">
        <v>835</v>
      </c>
      <c r="E12" s="38" t="s">
        <v>836</v>
      </c>
    </row>
    <row r="13" spans="1:10">
      <c r="A13" s="39" t="s">
        <v>33</v>
      </c>
      <c r="B13" s="45"/>
      <c r="C13" s="39"/>
      <c r="D13" s="43"/>
    </row>
    <row r="14" spans="1:10">
      <c r="A14" s="39" t="s">
        <v>115</v>
      </c>
      <c r="B14" s="45">
        <f>(C14/85.8)*100</f>
        <v>2749.3006993006993</v>
      </c>
      <c r="C14" s="39">
        <v>2358.9</v>
      </c>
      <c r="D14" s="106" t="s">
        <v>843</v>
      </c>
      <c r="E14" s="38" t="s">
        <v>841</v>
      </c>
    </row>
    <row r="15" spans="1:10">
      <c r="A15" s="39" t="s">
        <v>116</v>
      </c>
      <c r="B15" s="45">
        <f>C15</f>
        <v>4029.3</v>
      </c>
      <c r="C15" s="39">
        <v>4029.3</v>
      </c>
      <c r="D15" s="43" t="s">
        <v>597</v>
      </c>
    </row>
    <row r="16" spans="1:10" ht="14.25" customHeight="1">
      <c r="A16" s="39"/>
      <c r="B16" s="44">
        <f>SUM(B14:B15)</f>
        <v>6778.6006993006995</v>
      </c>
      <c r="C16" s="39"/>
      <c r="D16" s="234" t="s">
        <v>844</v>
      </c>
      <c r="E16" s="38" t="s">
        <v>841</v>
      </c>
      <c r="J16" s="261"/>
    </row>
    <row r="17" spans="1:5">
      <c r="A17" s="39" t="s">
        <v>34</v>
      </c>
      <c r="B17" s="45"/>
      <c r="C17" s="39"/>
      <c r="D17" s="43"/>
    </row>
    <row r="18" spans="1:5">
      <c r="A18" s="39" t="s">
        <v>133</v>
      </c>
      <c r="B18" s="45">
        <v>316.8</v>
      </c>
      <c r="C18" s="39"/>
      <c r="D18" s="234" t="s">
        <v>847</v>
      </c>
      <c r="E18" s="38" t="s">
        <v>845</v>
      </c>
    </row>
    <row r="19" spans="1:5">
      <c r="A19" s="39" t="s">
        <v>117</v>
      </c>
      <c r="B19" s="45">
        <v>25.1</v>
      </c>
      <c r="C19" s="39"/>
      <c r="D19" s="43"/>
    </row>
    <row r="20" spans="1:5">
      <c r="A20" s="39"/>
      <c r="B20" s="44">
        <f>SUM(B18:B19)</f>
        <v>341.90000000000003</v>
      </c>
      <c r="C20" s="39"/>
      <c r="D20" s="39"/>
    </row>
    <row r="21" spans="1:5">
      <c r="A21" s="39" t="s">
        <v>48</v>
      </c>
      <c r="B21" s="45"/>
      <c r="C21" s="39"/>
      <c r="D21" s="39"/>
    </row>
    <row r="22" spans="1:5">
      <c r="A22" s="39" t="s">
        <v>122</v>
      </c>
      <c r="B22" s="45">
        <v>185.2</v>
      </c>
      <c r="C22" s="39"/>
      <c r="D22" s="234" t="s">
        <v>848</v>
      </c>
      <c r="E22" s="38" t="s">
        <v>849</v>
      </c>
    </row>
    <row r="23" spans="1:5">
      <c r="A23" s="39" t="s">
        <v>123</v>
      </c>
      <c r="B23" s="45">
        <v>17</v>
      </c>
      <c r="C23" s="39"/>
      <c r="D23" s="43"/>
    </row>
    <row r="24" spans="1:5">
      <c r="A24" s="39"/>
      <c r="B24" s="44">
        <f>SUM(B22:B23)</f>
        <v>202.2</v>
      </c>
      <c r="C24" s="39"/>
      <c r="D24" s="39"/>
    </row>
    <row r="25" spans="1:5">
      <c r="A25" s="39" t="s">
        <v>35</v>
      </c>
      <c r="B25" s="45"/>
      <c r="C25" s="39"/>
      <c r="D25" s="43"/>
    </row>
    <row r="26" spans="1:5" ht="25.5">
      <c r="A26" s="39" t="s">
        <v>124</v>
      </c>
      <c r="B26" s="45">
        <v>206.1</v>
      </c>
      <c r="C26" s="39"/>
      <c r="D26" s="125" t="s">
        <v>853</v>
      </c>
      <c r="E26" s="38" t="s">
        <v>852</v>
      </c>
    </row>
    <row r="27" spans="1:5">
      <c r="A27" s="39" t="s">
        <v>125</v>
      </c>
      <c r="B27" s="45">
        <v>57.4</v>
      </c>
      <c r="C27" s="39"/>
      <c r="D27" s="43"/>
    </row>
    <row r="28" spans="1:5">
      <c r="A28" s="39" t="s">
        <v>398</v>
      </c>
      <c r="B28" s="45">
        <v>194.9</v>
      </c>
      <c r="C28" s="39"/>
      <c r="D28" s="43"/>
    </row>
    <row r="29" spans="1:5">
      <c r="A29" s="39" t="s">
        <v>119</v>
      </c>
      <c r="B29" s="45">
        <v>0.7</v>
      </c>
      <c r="C29" s="39"/>
      <c r="D29" s="43"/>
    </row>
    <row r="30" spans="1:5">
      <c r="A30" s="39"/>
      <c r="B30" s="44">
        <f>SUM(B26:B29)</f>
        <v>459.09999999999997</v>
      </c>
      <c r="C30" s="39"/>
      <c r="D30" s="39"/>
    </row>
    <row r="31" spans="1:5" ht="23.25" customHeight="1">
      <c r="A31" s="39" t="s">
        <v>36</v>
      </c>
      <c r="B31" s="45"/>
      <c r="C31" s="39"/>
      <c r="D31" s="43"/>
    </row>
    <row r="32" spans="1:5" ht="25.5" customHeight="1">
      <c r="A32" s="39" t="s">
        <v>120</v>
      </c>
      <c r="B32" s="45">
        <v>396.3</v>
      </c>
      <c r="C32" s="39"/>
      <c r="D32" s="234" t="s">
        <v>859</v>
      </c>
      <c r="E32" s="38" t="s">
        <v>858</v>
      </c>
    </row>
    <row r="33" spans="1:5">
      <c r="A33" s="39" t="s">
        <v>121</v>
      </c>
      <c r="B33" s="45">
        <v>871.6</v>
      </c>
      <c r="C33" s="39"/>
      <c r="D33" s="43"/>
    </row>
    <row r="34" spans="1:5">
      <c r="A34" s="39"/>
      <c r="B34" s="44">
        <f>SUM(B32:B33)</f>
        <v>1267.9000000000001</v>
      </c>
      <c r="C34" s="39"/>
      <c r="D34" s="39"/>
    </row>
    <row r="35" spans="1:5" ht="25.5">
      <c r="A35" s="39" t="s">
        <v>37</v>
      </c>
      <c r="B35" s="44">
        <v>12.6</v>
      </c>
      <c r="C35" s="39"/>
      <c r="D35" s="234" t="s">
        <v>860</v>
      </c>
      <c r="E35" s="38" t="s">
        <v>861</v>
      </c>
    </row>
    <row r="36" spans="1:5">
      <c r="A36" s="39" t="s">
        <v>38</v>
      </c>
      <c r="B36" s="44">
        <v>27.3</v>
      </c>
      <c r="C36" s="39"/>
      <c r="D36" s="52" t="s">
        <v>865</v>
      </c>
      <c r="E36" s="38" t="s">
        <v>864</v>
      </c>
    </row>
    <row r="37" spans="1:5" ht="25.5">
      <c r="A37" s="39" t="s">
        <v>39</v>
      </c>
      <c r="B37" s="44">
        <v>36.700000000000003</v>
      </c>
      <c r="C37" s="39"/>
      <c r="D37" s="234" t="s">
        <v>891</v>
      </c>
      <c r="E37" s="38" t="s">
        <v>890</v>
      </c>
    </row>
    <row r="38" spans="1:5" ht="15.75">
      <c r="A38" s="48" t="s">
        <v>55</v>
      </c>
      <c r="B38" s="49">
        <f>B4+B5+B6+B11+B12+B16+B20+B24+B30+B34+B35+B36+B37</f>
        <v>12782.900699300701</v>
      </c>
      <c r="C38" s="48"/>
      <c r="D38" s="43"/>
    </row>
    <row r="39" spans="1:5">
      <c r="A39" s="50"/>
      <c r="B39" s="44"/>
      <c r="C39" s="50"/>
      <c r="D39" s="43"/>
    </row>
    <row r="40" spans="1:5" ht="15.75">
      <c r="A40" s="48" t="s">
        <v>62</v>
      </c>
      <c r="B40" s="49">
        <v>860.8</v>
      </c>
      <c r="C40" s="48"/>
      <c r="D40" s="125" t="s">
        <v>787</v>
      </c>
    </row>
    <row r="41" spans="1:5">
      <c r="A41" s="39"/>
      <c r="B41" s="45"/>
      <c r="C41" s="39"/>
      <c r="D41" s="43"/>
    </row>
    <row r="42" spans="1:5" ht="15.75">
      <c r="A42" s="48" t="s">
        <v>52</v>
      </c>
      <c r="B42" s="49">
        <v>820</v>
      </c>
      <c r="C42" s="48"/>
      <c r="D42" s="125" t="s">
        <v>854</v>
      </c>
      <c r="E42" s="38" t="s">
        <v>852</v>
      </c>
    </row>
    <row r="43" spans="1:5" ht="31.5">
      <c r="A43" s="290" t="s">
        <v>880</v>
      </c>
      <c r="B43" s="49">
        <v>98.7</v>
      </c>
      <c r="C43" s="48"/>
      <c r="D43" s="125"/>
      <c r="E43" s="38"/>
    </row>
    <row r="44" spans="1:5">
      <c r="A44" s="39"/>
      <c r="B44" s="39"/>
      <c r="C44" s="39"/>
      <c r="D44" s="39"/>
    </row>
    <row r="45" spans="1:5" ht="15.75">
      <c r="A45" s="48" t="s">
        <v>23</v>
      </c>
      <c r="B45" s="49">
        <f>B38+B40+B42+B43</f>
        <v>14562.400699300701</v>
      </c>
      <c r="C45" s="48"/>
      <c r="D45" s="39"/>
    </row>
    <row r="46" spans="1:5">
      <c r="A46" s="39"/>
      <c r="B46" s="39"/>
      <c r="C46" s="39"/>
      <c r="D46" s="39"/>
    </row>
    <row r="48" spans="1:5">
      <c r="A48" s="53" t="s">
        <v>199</v>
      </c>
      <c r="B48" s="53"/>
      <c r="C48" s="53"/>
    </row>
    <row r="49" spans="1:5">
      <c r="A49" s="30" t="s">
        <v>275</v>
      </c>
      <c r="B49" s="30"/>
      <c r="C49" s="30"/>
    </row>
    <row r="50" spans="1:5">
      <c r="A50" s="30" t="s">
        <v>893</v>
      </c>
      <c r="B50" s="30"/>
      <c r="C50" s="30"/>
    </row>
    <row r="51" spans="1:5">
      <c r="A51" s="184" t="s">
        <v>892</v>
      </c>
      <c r="B51" s="184"/>
      <c r="C51" s="184"/>
      <c r="D51" s="30"/>
    </row>
    <row r="54" spans="1:5" ht="15">
      <c r="A54" s="18" t="s">
        <v>915</v>
      </c>
      <c r="B54" s="18"/>
      <c r="C54" s="18"/>
    </row>
    <row r="55" spans="1:5">
      <c r="A55" t="s">
        <v>52</v>
      </c>
      <c r="B55" s="9">
        <f>B42</f>
        <v>820</v>
      </c>
    </row>
    <row r="56" spans="1:5">
      <c r="A56" s="234" t="s">
        <v>880</v>
      </c>
      <c r="B56" s="9">
        <f>B43</f>
        <v>98.7</v>
      </c>
    </row>
    <row r="57" spans="1:5">
      <c r="A57" t="s">
        <v>56</v>
      </c>
      <c r="B57" s="9">
        <f>B38*0.57</f>
        <v>7286.2533986013987</v>
      </c>
      <c r="D57" s="258" t="s">
        <v>896</v>
      </c>
    </row>
    <row r="58" spans="1:5">
      <c r="B58" s="9">
        <f>SUM(B55:B57)</f>
        <v>8204.9533986013994</v>
      </c>
      <c r="D58" s="39"/>
    </row>
    <row r="59" spans="1:5">
      <c r="A59" t="s">
        <v>27</v>
      </c>
      <c r="B59" s="9">
        <f>B40*0.57</f>
        <v>490.65599999999995</v>
      </c>
      <c r="D59" s="258" t="s">
        <v>897</v>
      </c>
    </row>
    <row r="60" spans="1:5">
      <c r="B60" s="9">
        <f>SUM(B58:B59)</f>
        <v>8695.6093986013984</v>
      </c>
    </row>
    <row r="63" spans="1:5">
      <c r="A63" s="3" t="s">
        <v>557</v>
      </c>
      <c r="B63" s="3"/>
      <c r="C63" s="3"/>
      <c r="D63" s="3"/>
      <c r="E63" s="9"/>
    </row>
    <row r="64" spans="1:5">
      <c r="A64" s="3" t="s">
        <v>26</v>
      </c>
      <c r="B64" s="3"/>
      <c r="C64" s="3"/>
      <c r="D64" s="3"/>
    </row>
    <row r="66" spans="1:4">
      <c r="A66" t="s">
        <v>19</v>
      </c>
      <c r="B66" s="9">
        <f>B14</f>
        <v>2749.3006993006993</v>
      </c>
      <c r="D66" s="52" t="s">
        <v>939</v>
      </c>
    </row>
    <row r="67" spans="1:4">
      <c r="A67" s="30" t="s">
        <v>20</v>
      </c>
      <c r="B67" s="31">
        <f>B15</f>
        <v>4029.3</v>
      </c>
      <c r="C67" s="172">
        <f>B67/B68</f>
        <v>0.59441471459082618</v>
      </c>
      <c r="D67" s="52" t="s">
        <v>938</v>
      </c>
    </row>
    <row r="68" spans="1:4">
      <c r="B68" s="9">
        <f>SUM(B66:B67)</f>
        <v>6778.6006993006995</v>
      </c>
      <c r="C68" s="29"/>
      <c r="D68" s="15"/>
    </row>
    <row r="69" spans="1:4">
      <c r="A69" t="s">
        <v>21</v>
      </c>
      <c r="B69" s="9">
        <f>B32</f>
        <v>396.3</v>
      </c>
      <c r="C69" s="29"/>
      <c r="D69" s="15"/>
    </row>
    <row r="70" spans="1:4">
      <c r="A70" s="30" t="s">
        <v>22</v>
      </c>
      <c r="B70" s="31">
        <f>B33</f>
        <v>871.6</v>
      </c>
      <c r="C70" s="172">
        <f>B70/B71</f>
        <v>0.68743591765912138</v>
      </c>
      <c r="D70" s="15"/>
    </row>
    <row r="71" spans="1:4">
      <c r="B71" s="9">
        <f>SUM(B69:B70)</f>
        <v>1267.9000000000001</v>
      </c>
      <c r="C71" s="29"/>
    </row>
    <row r="72" spans="1:4">
      <c r="A72" s="30" t="s">
        <v>144</v>
      </c>
      <c r="B72" s="31">
        <v>168.7</v>
      </c>
      <c r="C72" s="172"/>
      <c r="D72" s="38" t="s">
        <v>703</v>
      </c>
    </row>
    <row r="73" spans="1:4">
      <c r="A73" s="30"/>
      <c r="B73" s="31"/>
      <c r="C73" s="172"/>
      <c r="D73" t="s">
        <v>704</v>
      </c>
    </row>
    <row r="74" spans="1:4">
      <c r="A74" s="30" t="s">
        <v>145</v>
      </c>
      <c r="B74" s="31">
        <f>B19</f>
        <v>25.1</v>
      </c>
      <c r="C74" s="172"/>
      <c r="D74" t="s">
        <v>705</v>
      </c>
    </row>
    <row r="75" spans="1:4">
      <c r="A75" t="s">
        <v>210</v>
      </c>
      <c r="B75" s="9">
        <f>B20</f>
        <v>341.90000000000003</v>
      </c>
      <c r="C75" s="172">
        <f>(B72+B74)/B75</f>
        <v>0.56683240713658956</v>
      </c>
    </row>
    <row r="76" spans="1:4">
      <c r="A76" t="s">
        <v>147</v>
      </c>
      <c r="B76" s="9">
        <v>131</v>
      </c>
      <c r="C76" s="29"/>
      <c r="D76" s="52" t="s">
        <v>894</v>
      </c>
    </row>
    <row r="77" spans="1:4">
      <c r="A77" s="30" t="s">
        <v>148</v>
      </c>
      <c r="B77" s="31">
        <v>110.2</v>
      </c>
      <c r="C77" s="172"/>
      <c r="D77" s="38" t="s">
        <v>551</v>
      </c>
    </row>
    <row r="78" spans="1:4">
      <c r="B78" s="9">
        <f>SUM(B76:B77)</f>
        <v>241.2</v>
      </c>
      <c r="C78" s="172">
        <f>B77/B78</f>
        <v>0.45688225538971811</v>
      </c>
      <c r="D78" t="s">
        <v>741</v>
      </c>
    </row>
    <row r="79" spans="1:4">
      <c r="A79" s="52" t="s">
        <v>983</v>
      </c>
      <c r="B79" s="9">
        <f>B22</f>
        <v>185.2</v>
      </c>
      <c r="D79" s="52"/>
    </row>
    <row r="80" spans="1:4">
      <c r="A80" s="52" t="s">
        <v>1023</v>
      </c>
      <c r="B80" s="9">
        <f>B23</f>
        <v>17</v>
      </c>
      <c r="D80" s="52"/>
    </row>
    <row r="81" spans="1:5">
      <c r="A81" s="52"/>
      <c r="B81" s="309">
        <f>B79*C81</f>
        <v>98.526399999999995</v>
      </c>
      <c r="C81" s="29">
        <v>0.53200000000000003</v>
      </c>
      <c r="D81" s="52" t="s">
        <v>984</v>
      </c>
    </row>
    <row r="82" spans="1:5">
      <c r="A82" s="52"/>
      <c r="C82" s="172">
        <f>B81/(B79+B80)</f>
        <v>0.48727200791295749</v>
      </c>
      <c r="D82" s="52" t="s">
        <v>1024</v>
      </c>
    </row>
    <row r="84" spans="1:5">
      <c r="A84" s="3" t="s">
        <v>163</v>
      </c>
      <c r="B84" s="3"/>
      <c r="C84" s="3"/>
    </row>
    <row r="85" spans="1:5">
      <c r="A85" s="30" t="s">
        <v>32</v>
      </c>
      <c r="B85" s="31">
        <f>B12*C78</f>
        <v>1337.294361525705</v>
      </c>
      <c r="C85" s="30"/>
      <c r="D85" s="52" t="s">
        <v>940</v>
      </c>
    </row>
    <row r="86" spans="1:5">
      <c r="A86" s="184" t="s">
        <v>33</v>
      </c>
      <c r="B86" s="185">
        <f>B67</f>
        <v>4029.3</v>
      </c>
      <c r="C86" s="184"/>
    </row>
    <row r="87" spans="1:5">
      <c r="A87" s="30" t="s">
        <v>150</v>
      </c>
      <c r="B87" s="31">
        <f>B72+B74</f>
        <v>193.79999999999998</v>
      </c>
      <c r="C87" s="30"/>
    </row>
    <row r="88" spans="1:5">
      <c r="A88" s="30" t="s">
        <v>36</v>
      </c>
      <c r="B88" s="31">
        <f>B70</f>
        <v>871.6</v>
      </c>
      <c r="C88" s="30"/>
    </row>
    <row r="89" spans="1:5">
      <c r="A89" s="30" t="s">
        <v>985</v>
      </c>
      <c r="B89" s="31">
        <f>B81</f>
        <v>98.526399999999995</v>
      </c>
      <c r="C89" s="30"/>
      <c r="D89" s="30" t="s">
        <v>986</v>
      </c>
    </row>
    <row r="90" spans="1:5">
      <c r="A90" s="52" t="s">
        <v>987</v>
      </c>
      <c r="B90" s="9">
        <f>SUM(B85:B89)</f>
        <v>6530.5207615257059</v>
      </c>
    </row>
    <row r="91" spans="1:5">
      <c r="A91" s="305" t="s">
        <v>988</v>
      </c>
      <c r="B91" s="291">
        <f>B12+B16+B20+B34+B24</f>
        <v>11517.600699300699</v>
      </c>
      <c r="C91" s="14"/>
    </row>
    <row r="92" spans="1:5" ht="18">
      <c r="A92" s="30" t="s">
        <v>153</v>
      </c>
      <c r="B92" s="172">
        <f>B90/B91</f>
        <v>0.56700357409700897</v>
      </c>
      <c r="C92" s="30"/>
      <c r="D92" s="259" t="s">
        <v>895</v>
      </c>
      <c r="E92" s="260"/>
    </row>
    <row r="93" spans="1:5">
      <c r="D93" s="39"/>
      <c r="E93" s="39"/>
    </row>
    <row r="95" spans="1:5">
      <c r="A95" s="292" t="s">
        <v>886</v>
      </c>
      <c r="B95" s="170"/>
      <c r="C95" s="170"/>
    </row>
    <row r="96" spans="1:5">
      <c r="A96" s="50"/>
      <c r="B96" s="50"/>
      <c r="C96" s="50"/>
      <c r="D96" s="39"/>
    </row>
    <row r="97" spans="1:4">
      <c r="A97" s="50"/>
      <c r="B97" s="50"/>
      <c r="C97" s="50"/>
      <c r="D97" s="39"/>
    </row>
    <row r="99" spans="1:4" ht="15.75">
      <c r="A99" s="210" t="s">
        <v>626</v>
      </c>
      <c r="B99" s="210"/>
      <c r="C99" s="210"/>
      <c r="D99" s="50"/>
    </row>
    <row r="100" spans="1:4">
      <c r="D100" s="39"/>
    </row>
    <row r="101" spans="1:4">
      <c r="A101" t="s">
        <v>627</v>
      </c>
      <c r="B101" s="19">
        <f>NFLD!B194</f>
        <v>57.274999999999999</v>
      </c>
      <c r="D101" s="39"/>
    </row>
    <row r="102" spans="1:4">
      <c r="A102" t="s">
        <v>628</v>
      </c>
      <c r="B102" s="19">
        <f>PEI!B195</f>
        <v>18.867000000000001</v>
      </c>
      <c r="D102" s="39"/>
    </row>
    <row r="103" spans="1:4">
      <c r="A103" s="52" t="s">
        <v>629</v>
      </c>
      <c r="B103" s="312">
        <f>NS!B197</f>
        <v>151.905</v>
      </c>
      <c r="C103" s="52"/>
      <c r="D103" s="39"/>
    </row>
    <row r="104" spans="1:4" ht="20.25">
      <c r="A104" t="s">
        <v>630</v>
      </c>
      <c r="B104" s="19">
        <f>NB!B188</f>
        <v>43.3</v>
      </c>
      <c r="D104" s="313"/>
    </row>
    <row r="105" spans="1:4">
      <c r="A105" s="52" t="s">
        <v>632</v>
      </c>
      <c r="B105" s="312">
        <f>QUE!B198</f>
        <v>1337.294361525705</v>
      </c>
      <c r="C105" s="52"/>
      <c r="D105" s="39"/>
    </row>
    <row r="106" spans="1:4">
      <c r="A106" t="s">
        <v>216</v>
      </c>
      <c r="B106" s="19">
        <f>'ONT disability details 12-13'!B27</f>
        <v>4029.3</v>
      </c>
      <c r="D106" s="39"/>
    </row>
    <row r="107" spans="1:4">
      <c r="A107" t="s">
        <v>320</v>
      </c>
      <c r="B107" s="19">
        <f>Manitoba!B191</f>
        <v>193.79999999999998</v>
      </c>
      <c r="D107" s="39"/>
    </row>
    <row r="108" spans="1:4">
      <c r="A108" t="s">
        <v>631</v>
      </c>
      <c r="B108" s="19">
        <f>SASK!B194</f>
        <v>98.526399999999995</v>
      </c>
      <c r="D108" s="39"/>
    </row>
    <row r="109" spans="1:4">
      <c r="A109" t="s">
        <v>411</v>
      </c>
      <c r="B109" s="19">
        <f>Alberta!B241</f>
        <v>203.9</v>
      </c>
      <c r="D109" s="39"/>
    </row>
    <row r="110" spans="1:4">
      <c r="A110" t="s">
        <v>36</v>
      </c>
      <c r="B110" s="19">
        <f>BC!B191</f>
        <v>871.6</v>
      </c>
      <c r="D110" s="39"/>
    </row>
    <row r="111" spans="1:4" ht="15.75">
      <c r="B111" s="19">
        <f>SUM(B101:B110)</f>
        <v>7005.7677615257053</v>
      </c>
      <c r="C111" s="9">
        <f>B38</f>
        <v>12782.900699300701</v>
      </c>
      <c r="D111" s="314">
        <f>B111/C111</f>
        <v>0.54805774732404533</v>
      </c>
    </row>
    <row r="112" spans="1:4" ht="15.75">
      <c r="A112" s="52" t="s">
        <v>635</v>
      </c>
      <c r="B112" s="312">
        <f>Alberta!B200</f>
        <v>820</v>
      </c>
      <c r="C112" s="312">
        <f>B112</f>
        <v>820</v>
      </c>
      <c r="D112" s="314"/>
    </row>
    <row r="113" spans="1:4" ht="15.75">
      <c r="A113" s="52" t="s">
        <v>1010</v>
      </c>
      <c r="B113" s="19">
        <f>SASK!B198</f>
        <v>98.7</v>
      </c>
      <c r="C113" s="19">
        <f>B113</f>
        <v>98.7</v>
      </c>
      <c r="D113" s="314"/>
    </row>
    <row r="114" spans="1:4" ht="15.75">
      <c r="B114" s="19">
        <f>SUM(B111:B113)</f>
        <v>7924.4677615257051</v>
      </c>
      <c r="C114" s="19">
        <f>SUM(C111:C113)</f>
        <v>13701.600699300701</v>
      </c>
      <c r="D114" s="314">
        <f>B114/C114</f>
        <v>0.57836072846073761</v>
      </c>
    </row>
    <row r="119" spans="1:4">
      <c r="D119" t="s">
        <v>418</v>
      </c>
    </row>
  </sheetData>
  <hyperlinks>
    <hyperlink ref="D77" r:id="rId1"/>
    <hyperlink ref="D72" r:id="rId2"/>
    <hyperlink ref="E11" r:id="rId3"/>
    <hyperlink ref="E4" r:id="rId4"/>
    <hyperlink ref="E5" r:id="rId5"/>
    <hyperlink ref="E22" r:id="rId6"/>
    <hyperlink ref="E26" r:id="rId7"/>
    <hyperlink ref="E32" r:id="rId8"/>
    <hyperlink ref="E35" r:id="rId9"/>
    <hyperlink ref="E36" r:id="rId10"/>
    <hyperlink ref="E12" r:id="rId11"/>
    <hyperlink ref="E14" r:id="rId12"/>
    <hyperlink ref="E16" r:id="rId13"/>
    <hyperlink ref="E18" r:id="rId14"/>
    <hyperlink ref="E37" r:id="rId15"/>
  </hyperlinks>
  <pageMargins left="0.70866141732283472" right="0.70866141732283472" top="0.74803149606299213" bottom="0.74803149606299213" header="0.31496062992125984" footer="0.31496062992125984"/>
  <pageSetup scale="85" orientation="landscape" verticalDpi="0" r:id="rId16"/>
</worksheet>
</file>

<file path=xl/worksheets/sheet23.xml><?xml version="1.0" encoding="utf-8"?>
<worksheet xmlns="http://schemas.openxmlformats.org/spreadsheetml/2006/main" xmlns:r="http://schemas.openxmlformats.org/officeDocument/2006/relationships">
  <dimension ref="A1:J114"/>
  <sheetViews>
    <sheetView topLeftCell="A73" workbookViewId="0">
      <selection activeCell="D104" sqref="D104"/>
    </sheetView>
  </sheetViews>
  <sheetFormatPr defaultRowHeight="12.75"/>
  <cols>
    <col min="1" max="1" width="33.7109375" customWidth="1"/>
    <col min="2" max="2" width="10.7109375" customWidth="1"/>
    <col min="4" max="4" width="86.5703125" customWidth="1"/>
    <col min="5" max="5" width="30.7109375" customWidth="1"/>
  </cols>
  <sheetData>
    <row r="1" spans="1:10" ht="15.75">
      <c r="A1" s="39"/>
      <c r="B1" s="40" t="s">
        <v>689</v>
      </c>
      <c r="C1" s="41"/>
      <c r="D1" s="42"/>
    </row>
    <row r="2" spans="1:10" ht="15.75">
      <c r="A2" s="39"/>
      <c r="B2" s="40" t="s">
        <v>16</v>
      </c>
      <c r="C2" s="41"/>
      <c r="D2" s="42"/>
    </row>
    <row r="3" spans="1:10">
      <c r="A3" s="39"/>
      <c r="B3" s="39"/>
      <c r="C3" s="39"/>
      <c r="D3" s="43"/>
    </row>
    <row r="4" spans="1:10" ht="25.5">
      <c r="A4" s="39" t="s">
        <v>28</v>
      </c>
      <c r="B4" s="44">
        <v>226.2</v>
      </c>
      <c r="C4" s="44"/>
      <c r="D4" s="234" t="s">
        <v>720</v>
      </c>
      <c r="E4" s="38" t="s">
        <v>721</v>
      </c>
    </row>
    <row r="5" spans="1:10" ht="25.5">
      <c r="A5" s="39" t="s">
        <v>29</v>
      </c>
      <c r="B5" s="44">
        <v>34.200000000000003</v>
      </c>
      <c r="C5" s="122"/>
      <c r="D5" s="125" t="s">
        <v>723</v>
      </c>
      <c r="E5" s="110" t="s">
        <v>722</v>
      </c>
    </row>
    <row r="6" spans="1:10" ht="25.5">
      <c r="A6" s="39" t="s">
        <v>30</v>
      </c>
      <c r="B6" s="44">
        <v>245.3</v>
      </c>
      <c r="C6" s="44"/>
      <c r="D6" s="234" t="s">
        <v>935</v>
      </c>
      <c r="E6" s="38" t="s">
        <v>936</v>
      </c>
    </row>
    <row r="7" spans="1:10">
      <c r="A7" s="39" t="s">
        <v>31</v>
      </c>
      <c r="B7" s="45"/>
      <c r="C7" s="45"/>
      <c r="D7" s="43"/>
    </row>
    <row r="8" spans="1:10">
      <c r="A8" s="39" t="s">
        <v>112</v>
      </c>
      <c r="B8" s="45">
        <v>135.1</v>
      </c>
      <c r="C8" s="45"/>
      <c r="D8" s="43"/>
    </row>
    <row r="9" spans="1:10">
      <c r="A9" s="39" t="s">
        <v>113</v>
      </c>
      <c r="B9" s="45">
        <v>42.9</v>
      </c>
      <c r="C9" s="45"/>
      <c r="D9" s="43"/>
    </row>
    <row r="10" spans="1:10">
      <c r="A10" s="39" t="s">
        <v>114</v>
      </c>
      <c r="B10" s="45">
        <v>27.2</v>
      </c>
      <c r="C10" s="45"/>
      <c r="D10" s="43"/>
    </row>
    <row r="11" spans="1:10">
      <c r="A11" s="39"/>
      <c r="B11" s="44">
        <f>SUM(B8:B10)</f>
        <v>205.2</v>
      </c>
      <c r="C11" s="44"/>
      <c r="D11" s="234" t="s">
        <v>697</v>
      </c>
      <c r="E11" s="38" t="s">
        <v>726</v>
      </c>
    </row>
    <row r="12" spans="1:10" ht="25.5">
      <c r="A12" s="39" t="s">
        <v>32</v>
      </c>
      <c r="B12" s="44">
        <v>2912</v>
      </c>
      <c r="C12" s="44"/>
      <c r="D12" s="43" t="s">
        <v>727</v>
      </c>
      <c r="E12" s="38" t="s">
        <v>740</v>
      </c>
    </row>
    <row r="13" spans="1:10">
      <c r="A13" s="39" t="s">
        <v>33</v>
      </c>
      <c r="B13" s="45"/>
      <c r="C13" s="45"/>
      <c r="D13" s="43"/>
    </row>
    <row r="14" spans="1:10">
      <c r="A14" s="39" t="s">
        <v>115</v>
      </c>
      <c r="B14" s="246">
        <f>(C14/83)*100</f>
        <v>2807.8313253012047</v>
      </c>
      <c r="C14" s="45">
        <v>2330.5</v>
      </c>
      <c r="D14" s="106" t="s">
        <v>698</v>
      </c>
      <c r="E14" s="38" t="s">
        <v>728</v>
      </c>
    </row>
    <row r="15" spans="1:10">
      <c r="A15" s="39" t="s">
        <v>116</v>
      </c>
      <c r="B15" s="246">
        <v>3794.8</v>
      </c>
      <c r="C15" s="246">
        <v>3794.8</v>
      </c>
      <c r="D15" s="43" t="s">
        <v>597</v>
      </c>
    </row>
    <row r="16" spans="1:10" ht="14.25" customHeight="1">
      <c r="A16" s="39"/>
      <c r="B16" s="44">
        <f>SUM(B14:B15)</f>
        <v>6602.6313253012049</v>
      </c>
      <c r="C16" s="44">
        <f>SUM(C14:C15)</f>
        <v>6125.3</v>
      </c>
      <c r="D16" s="234" t="s">
        <v>729</v>
      </c>
      <c r="E16" s="38" t="s">
        <v>530</v>
      </c>
      <c r="J16" s="261"/>
    </row>
    <row r="17" spans="1:5">
      <c r="A17" s="39" t="s">
        <v>34</v>
      </c>
      <c r="B17" s="45"/>
      <c r="C17" s="45"/>
      <c r="D17" s="43"/>
    </row>
    <row r="18" spans="1:5">
      <c r="A18" s="39" t="s">
        <v>133</v>
      </c>
      <c r="B18" s="45">
        <v>320.39999999999998</v>
      </c>
      <c r="C18" s="45"/>
      <c r="D18" s="234" t="s">
        <v>708</v>
      </c>
      <c r="E18" s="38" t="s">
        <v>703</v>
      </c>
    </row>
    <row r="19" spans="1:5">
      <c r="A19" s="39" t="s">
        <v>117</v>
      </c>
      <c r="B19" s="45">
        <v>25.4</v>
      </c>
      <c r="C19" s="45"/>
      <c r="D19" s="43"/>
    </row>
    <row r="20" spans="1:5">
      <c r="A20" s="39"/>
      <c r="B20" s="44">
        <f>SUM(B18:B19)</f>
        <v>345.79999999999995</v>
      </c>
      <c r="C20" s="44"/>
      <c r="D20" s="39"/>
    </row>
    <row r="21" spans="1:5">
      <c r="A21" s="39" t="s">
        <v>48</v>
      </c>
      <c r="B21" s="44"/>
      <c r="C21" s="44"/>
      <c r="D21" s="39"/>
    </row>
    <row r="22" spans="1:5">
      <c r="A22" s="39" t="s">
        <v>122</v>
      </c>
      <c r="B22" s="46">
        <v>218.9</v>
      </c>
      <c r="C22" s="44"/>
      <c r="D22" s="234" t="s">
        <v>731</v>
      </c>
      <c r="E22" s="38" t="s">
        <v>730</v>
      </c>
    </row>
    <row r="23" spans="1:5">
      <c r="A23" s="39" t="s">
        <v>123</v>
      </c>
      <c r="B23" s="46">
        <v>20.9</v>
      </c>
      <c r="C23" s="44"/>
      <c r="D23" s="43"/>
    </row>
    <row r="24" spans="1:5">
      <c r="A24" s="39"/>
      <c r="B24" s="44">
        <f>SUM(B22:B23)</f>
        <v>239.8</v>
      </c>
      <c r="C24" s="44"/>
      <c r="D24" s="39"/>
    </row>
    <row r="25" spans="1:5">
      <c r="A25" s="39" t="s">
        <v>35</v>
      </c>
      <c r="B25" s="45"/>
      <c r="C25" s="45"/>
      <c r="D25" s="43"/>
    </row>
    <row r="26" spans="1:5">
      <c r="A26" s="39" t="s">
        <v>124</v>
      </c>
      <c r="B26" s="45">
        <v>218.2</v>
      </c>
      <c r="C26" s="45"/>
      <c r="D26" s="125" t="s">
        <v>855</v>
      </c>
      <c r="E26" s="38" t="s">
        <v>732</v>
      </c>
    </row>
    <row r="27" spans="1:5">
      <c r="A27" s="39" t="s">
        <v>125</v>
      </c>
      <c r="B27" s="45">
        <v>68</v>
      </c>
      <c r="C27" s="45"/>
      <c r="D27" s="43"/>
    </row>
    <row r="28" spans="1:5">
      <c r="A28" s="39" t="s">
        <v>398</v>
      </c>
      <c r="B28" s="45">
        <v>176.8</v>
      </c>
      <c r="C28" s="45"/>
      <c r="D28" s="43"/>
    </row>
    <row r="29" spans="1:5">
      <c r="A29" s="39" t="s">
        <v>119</v>
      </c>
      <c r="B29" s="45">
        <v>1.5</v>
      </c>
      <c r="C29" s="45"/>
      <c r="D29" s="43"/>
    </row>
    <row r="30" spans="1:5">
      <c r="A30" s="39"/>
      <c r="B30" s="44">
        <f>SUM(B26:B29)</f>
        <v>464.5</v>
      </c>
      <c r="C30" s="44"/>
      <c r="D30" s="39"/>
    </row>
    <row r="31" spans="1:5">
      <c r="A31" s="39" t="s">
        <v>36</v>
      </c>
      <c r="B31" s="45"/>
      <c r="C31" s="45"/>
      <c r="D31" s="43"/>
    </row>
    <row r="32" spans="1:5" ht="38.25">
      <c r="A32" s="39" t="s">
        <v>120</v>
      </c>
      <c r="B32" s="45">
        <v>438</v>
      </c>
      <c r="C32" s="45"/>
      <c r="D32" s="234" t="s">
        <v>734</v>
      </c>
      <c r="E32" s="38" t="s">
        <v>735</v>
      </c>
    </row>
    <row r="33" spans="1:5">
      <c r="A33" s="39" t="s">
        <v>121</v>
      </c>
      <c r="B33" s="45">
        <v>823.6</v>
      </c>
      <c r="C33" s="45"/>
      <c r="D33" s="43"/>
    </row>
    <row r="34" spans="1:5">
      <c r="A34" s="39"/>
      <c r="B34" s="44">
        <f>SUM(B32:B33)</f>
        <v>1261.5999999999999</v>
      </c>
      <c r="C34" s="44"/>
      <c r="D34" s="39"/>
    </row>
    <row r="35" spans="1:5" ht="25.5">
      <c r="A35" s="39" t="s">
        <v>37</v>
      </c>
      <c r="B35" s="44">
        <v>13.6</v>
      </c>
      <c r="C35" s="45"/>
      <c r="D35" s="234" t="s">
        <v>699</v>
      </c>
      <c r="E35" s="38" t="s">
        <v>736</v>
      </c>
    </row>
    <row r="36" spans="1:5">
      <c r="A36" s="39" t="s">
        <v>38</v>
      </c>
      <c r="B36" s="47">
        <v>26.8</v>
      </c>
      <c r="C36" s="45"/>
      <c r="D36" t="s">
        <v>702</v>
      </c>
      <c r="E36" s="38" t="s">
        <v>737</v>
      </c>
    </row>
    <row r="37" spans="1:5" ht="25.5">
      <c r="A37" s="39" t="s">
        <v>39</v>
      </c>
      <c r="B37" s="47">
        <v>35</v>
      </c>
      <c r="C37" s="45"/>
      <c r="D37" s="234" t="s">
        <v>738</v>
      </c>
      <c r="E37" s="38" t="s">
        <v>739</v>
      </c>
    </row>
    <row r="38" spans="1:5" ht="15.75">
      <c r="A38" s="48" t="s">
        <v>55</v>
      </c>
      <c r="B38" s="49">
        <f>B4+B5+B6+B11+B12+B16+B20+B24+B30+B34+B35+B36+B37</f>
        <v>12612.631325301203</v>
      </c>
      <c r="C38" s="44"/>
      <c r="D38" s="43"/>
    </row>
    <row r="39" spans="1:5">
      <c r="A39" s="50"/>
      <c r="B39" s="44"/>
      <c r="C39" s="44"/>
      <c r="D39" s="43"/>
    </row>
    <row r="40" spans="1:5" ht="15.75">
      <c r="A40" s="48" t="s">
        <v>62</v>
      </c>
      <c r="B40" s="49">
        <v>838.6</v>
      </c>
      <c r="C40" s="45"/>
      <c r="D40" s="125" t="s">
        <v>787</v>
      </c>
    </row>
    <row r="41" spans="1:5" ht="15.75">
      <c r="A41" s="39"/>
      <c r="B41" s="49"/>
      <c r="C41" s="45"/>
      <c r="D41" s="43"/>
    </row>
    <row r="42" spans="1:5" ht="16.5" customHeight="1">
      <c r="A42" s="48" t="s">
        <v>52</v>
      </c>
      <c r="B42" s="28">
        <v>579.79999999999995</v>
      </c>
      <c r="C42" s="39"/>
      <c r="D42" s="124" t="s">
        <v>733</v>
      </c>
      <c r="E42" s="38" t="s">
        <v>732</v>
      </c>
    </row>
    <row r="43" spans="1:5" ht="31.5">
      <c r="A43" s="290" t="s">
        <v>902</v>
      </c>
      <c r="B43" s="48">
        <v>35.9</v>
      </c>
      <c r="C43" s="39"/>
      <c r="D43" s="39"/>
    </row>
    <row r="44" spans="1:5" ht="15.75">
      <c r="A44" s="48" t="s">
        <v>23</v>
      </c>
      <c r="B44" s="28">
        <f>SUM(B38:B43)</f>
        <v>14066.931325301202</v>
      </c>
      <c r="C44" s="39"/>
      <c r="D44" s="39"/>
    </row>
    <row r="45" spans="1:5">
      <c r="A45" s="39"/>
      <c r="B45" s="39"/>
      <c r="C45" s="39"/>
      <c r="D45" s="39"/>
    </row>
    <row r="47" spans="1:5">
      <c r="A47" s="53" t="s">
        <v>199</v>
      </c>
    </row>
    <row r="48" spans="1:5">
      <c r="A48" s="30" t="s">
        <v>275</v>
      </c>
    </row>
    <row r="49" spans="1:5">
      <c r="A49" s="30" t="s">
        <v>700</v>
      </c>
    </row>
    <row r="50" spans="1:5">
      <c r="A50" s="184" t="s">
        <v>701</v>
      </c>
      <c r="B50" s="30"/>
      <c r="C50" s="30"/>
      <c r="D50" s="30"/>
    </row>
    <row r="53" spans="1:5" ht="15">
      <c r="A53" s="18" t="s">
        <v>745</v>
      </c>
      <c r="B53" s="9"/>
      <c r="C53" s="9"/>
    </row>
    <row r="54" spans="1:5">
      <c r="A54" t="s">
        <v>52</v>
      </c>
      <c r="B54" s="102">
        <f>B42</f>
        <v>579.79999999999995</v>
      </c>
      <c r="C54" s="9"/>
    </row>
    <row r="55" spans="1:5">
      <c r="A55" s="234" t="s">
        <v>902</v>
      </c>
      <c r="B55" s="106">
        <v>35.9</v>
      </c>
      <c r="C55" s="9"/>
    </row>
    <row r="56" spans="1:5">
      <c r="A56" t="s">
        <v>56</v>
      </c>
      <c r="B56" s="126">
        <f>B38*0.55</f>
        <v>6936.947228915662</v>
      </c>
      <c r="D56" s="258" t="s">
        <v>643</v>
      </c>
    </row>
    <row r="57" spans="1:5">
      <c r="B57" s="127">
        <f>SUM(B54:B56)</f>
        <v>7552.6472289156618</v>
      </c>
      <c r="C57" s="8"/>
      <c r="D57" s="39"/>
    </row>
    <row r="58" spans="1:5">
      <c r="A58" t="s">
        <v>27</v>
      </c>
      <c r="B58" s="126">
        <f>B40*0.55</f>
        <v>461.23000000000008</v>
      </c>
      <c r="D58" s="258" t="s">
        <v>644</v>
      </c>
    </row>
    <row r="59" spans="1:5">
      <c r="B59" s="126">
        <f>SUM(B57:B58)</f>
        <v>8013.8772289156623</v>
      </c>
    </row>
    <row r="60" spans="1:5">
      <c r="B60" s="19"/>
    </row>
    <row r="62" spans="1:5">
      <c r="A62" s="3" t="s">
        <v>557</v>
      </c>
      <c r="B62" s="3"/>
      <c r="C62" s="3"/>
      <c r="D62" s="3"/>
      <c r="E62" s="9"/>
    </row>
    <row r="63" spans="1:5">
      <c r="A63" s="3" t="s">
        <v>26</v>
      </c>
      <c r="B63" s="3"/>
      <c r="C63" s="3"/>
      <c r="D63" s="3"/>
    </row>
    <row r="65" spans="1:4">
      <c r="A65" t="s">
        <v>19</v>
      </c>
      <c r="B65" s="9">
        <f>B14</f>
        <v>2807.8313253012047</v>
      </c>
    </row>
    <row r="66" spans="1:4">
      <c r="A66" s="30" t="s">
        <v>20</v>
      </c>
      <c r="B66" s="31">
        <f>B15</f>
        <v>3794.8</v>
      </c>
      <c r="C66" s="15">
        <f>B66/B67</f>
        <v>0.57474055615650865</v>
      </c>
      <c r="D66" t="s">
        <v>707</v>
      </c>
    </row>
    <row r="67" spans="1:4">
      <c r="B67" s="21">
        <f>SUM(B65:B66)</f>
        <v>6602.6313253012049</v>
      </c>
      <c r="C67" s="3"/>
      <c r="D67" s="15"/>
    </row>
    <row r="68" spans="1:4">
      <c r="A68" t="s">
        <v>21</v>
      </c>
      <c r="B68" s="9">
        <f>B32</f>
        <v>438</v>
      </c>
      <c r="D68" s="15"/>
    </row>
    <row r="69" spans="1:4">
      <c r="A69" s="30" t="s">
        <v>22</v>
      </c>
      <c r="B69" s="31">
        <f>B33</f>
        <v>823.6</v>
      </c>
      <c r="D69" s="15"/>
    </row>
    <row r="70" spans="1:4">
      <c r="B70" s="21">
        <f>SUM(B68:B69)</f>
        <v>1261.5999999999999</v>
      </c>
      <c r="C70" s="15">
        <f>B69/B70</f>
        <v>0.65282181357006985</v>
      </c>
    </row>
    <row r="71" spans="1:4">
      <c r="A71" s="30" t="s">
        <v>144</v>
      </c>
      <c r="B71" s="30">
        <v>169.6</v>
      </c>
      <c r="D71" s="38" t="s">
        <v>703</v>
      </c>
    </row>
    <row r="72" spans="1:4">
      <c r="A72" s="30"/>
      <c r="B72" s="30"/>
      <c r="D72" t="s">
        <v>704</v>
      </c>
    </row>
    <row r="73" spans="1:4">
      <c r="A73" s="30" t="s">
        <v>145</v>
      </c>
      <c r="B73" s="31">
        <f>B19</f>
        <v>25.4</v>
      </c>
      <c r="D73" t="s">
        <v>705</v>
      </c>
    </row>
    <row r="74" spans="1:4">
      <c r="A74" t="s">
        <v>210</v>
      </c>
      <c r="B74" s="21">
        <f>B20</f>
        <v>345.79999999999995</v>
      </c>
      <c r="C74" s="15">
        <f>(B71+B73)/B74</f>
        <v>0.56390977443609025</v>
      </c>
    </row>
    <row r="75" spans="1:4">
      <c r="A75" t="s">
        <v>147</v>
      </c>
      <c r="B75">
        <v>131.4</v>
      </c>
      <c r="D75" t="s">
        <v>706</v>
      </c>
    </row>
    <row r="76" spans="1:4">
      <c r="A76" s="30" t="s">
        <v>148</v>
      </c>
      <c r="B76" s="30">
        <v>108.2</v>
      </c>
      <c r="D76" s="38" t="s">
        <v>551</v>
      </c>
    </row>
    <row r="77" spans="1:4">
      <c r="B77" s="3">
        <f>SUM(B75:B76)</f>
        <v>239.60000000000002</v>
      </c>
      <c r="C77" s="15">
        <f>B76/B77</f>
        <v>0.45158597662771283</v>
      </c>
      <c r="D77" t="s">
        <v>741</v>
      </c>
    </row>
    <row r="80" spans="1:4">
      <c r="A80" s="3" t="s">
        <v>163</v>
      </c>
    </row>
    <row r="81" spans="1:5">
      <c r="A81" s="30" t="s">
        <v>32</v>
      </c>
      <c r="B81" s="31">
        <f>C77*B12</f>
        <v>1315.0183639398997</v>
      </c>
      <c r="D81" t="s">
        <v>809</v>
      </c>
    </row>
    <row r="82" spans="1:5">
      <c r="A82" s="184" t="s">
        <v>33</v>
      </c>
      <c r="B82" s="185">
        <f>B66</f>
        <v>3794.8</v>
      </c>
    </row>
    <row r="83" spans="1:5">
      <c r="A83" s="30" t="s">
        <v>150</v>
      </c>
      <c r="B83" s="31">
        <f>B71+B73</f>
        <v>195</v>
      </c>
    </row>
    <row r="84" spans="1:5">
      <c r="A84" s="30" t="s">
        <v>36</v>
      </c>
      <c r="B84" s="31">
        <f>B69</f>
        <v>823.6</v>
      </c>
    </row>
    <row r="85" spans="1:5">
      <c r="A85" t="s">
        <v>151</v>
      </c>
      <c r="B85" s="31">
        <f>SUM(B81:B84)</f>
        <v>6128.4183639398998</v>
      </c>
    </row>
    <row r="86" spans="1:5">
      <c r="A86" s="14" t="s">
        <v>152</v>
      </c>
      <c r="B86" s="9">
        <f>B12+B16+B20+B34</f>
        <v>11122.031325301205</v>
      </c>
    </row>
    <row r="87" spans="1:5" ht="18">
      <c r="A87" s="30" t="s">
        <v>153</v>
      </c>
      <c r="B87" s="32">
        <f>B85/B86</f>
        <v>0.551016103506068</v>
      </c>
      <c r="D87" s="259" t="s">
        <v>645</v>
      </c>
      <c r="E87" s="260"/>
    </row>
    <row r="88" spans="1:5">
      <c r="D88" s="39"/>
      <c r="E88" s="39"/>
    </row>
    <row r="90" spans="1:5">
      <c r="A90" s="170" t="s">
        <v>746</v>
      </c>
    </row>
    <row r="91" spans="1:5">
      <c r="A91" s="50"/>
      <c r="B91" s="39"/>
      <c r="C91" s="39"/>
      <c r="D91" s="39"/>
    </row>
    <row r="92" spans="1:5">
      <c r="A92" s="50"/>
      <c r="B92" s="39"/>
      <c r="C92" s="39"/>
      <c r="D92" s="39"/>
    </row>
    <row r="94" spans="1:5" ht="15.75">
      <c r="A94" s="210" t="s">
        <v>626</v>
      </c>
      <c r="B94" s="210"/>
      <c r="C94" s="153"/>
      <c r="D94" s="226"/>
    </row>
    <row r="95" spans="1:5">
      <c r="B95" s="52" t="s">
        <v>633</v>
      </c>
      <c r="C95" s="52" t="s">
        <v>634</v>
      </c>
    </row>
    <row r="96" spans="1:5">
      <c r="A96" t="s">
        <v>627</v>
      </c>
      <c r="B96" s="9">
        <f>NFLD!B150</f>
        <v>56.55</v>
      </c>
    </row>
    <row r="97" spans="1:4">
      <c r="A97" t="s">
        <v>628</v>
      </c>
      <c r="B97" s="9">
        <f>PEI!B150</f>
        <v>18.810000000000002</v>
      </c>
    </row>
    <row r="98" spans="1:4">
      <c r="A98" s="52" t="s">
        <v>629</v>
      </c>
      <c r="B98" s="9">
        <f>NS!B152</f>
        <v>134.91500000000002</v>
      </c>
    </row>
    <row r="99" spans="1:4">
      <c r="A99" t="s">
        <v>630</v>
      </c>
      <c r="B99" s="9">
        <f>NB!B146</f>
        <v>42.9</v>
      </c>
    </row>
    <row r="100" spans="1:4">
      <c r="A100" s="52" t="s">
        <v>632</v>
      </c>
      <c r="B100" s="9">
        <f>QUE!B154</f>
        <v>1315.0183639398997</v>
      </c>
    </row>
    <row r="101" spans="1:4">
      <c r="A101" t="s">
        <v>216</v>
      </c>
      <c r="B101" s="9">
        <f>'Ont Disability details 11-12'!B26</f>
        <v>3794.8</v>
      </c>
    </row>
    <row r="102" spans="1:4">
      <c r="A102" t="s">
        <v>320</v>
      </c>
      <c r="B102" s="9">
        <f>Manitoba!B149</f>
        <v>195</v>
      </c>
    </row>
    <row r="103" spans="1:4">
      <c r="A103" t="s">
        <v>631</v>
      </c>
      <c r="B103" s="9">
        <f>SASK!B150</f>
        <v>120.39500000000001</v>
      </c>
    </row>
    <row r="104" spans="1:4">
      <c r="A104" t="s">
        <v>411</v>
      </c>
      <c r="B104" s="9">
        <f>Alberta!B152</f>
        <v>176.8</v>
      </c>
    </row>
    <row r="105" spans="1:4">
      <c r="A105" t="s">
        <v>36</v>
      </c>
      <c r="B105" s="9">
        <f>BC!B149</f>
        <v>823.6</v>
      </c>
    </row>
    <row r="106" spans="1:4" ht="15.75">
      <c r="B106" s="9">
        <f>SUM(B96:B105)</f>
        <v>6678.7883639399006</v>
      </c>
      <c r="C106" s="9">
        <f>B38</f>
        <v>12612.631325301203</v>
      </c>
      <c r="D106" s="209">
        <f>B106/C106</f>
        <v>0.52953172035894769</v>
      </c>
    </row>
    <row r="107" spans="1:4" ht="15.75">
      <c r="A107" s="52" t="s">
        <v>635</v>
      </c>
      <c r="B107" s="9">
        <f>Alberta!B156</f>
        <v>579.79999999999995</v>
      </c>
      <c r="C107" s="9">
        <f>B42</f>
        <v>579.79999999999995</v>
      </c>
      <c r="D107" s="209"/>
    </row>
    <row r="108" spans="1:4" ht="15.75">
      <c r="B108" s="9">
        <f>SUM(B106:B107)</f>
        <v>7258.5883639399008</v>
      </c>
      <c r="C108" s="9">
        <f>SUM(C106:C107)</f>
        <v>13192.431325301202</v>
      </c>
      <c r="D108" s="209">
        <f>B108/C108</f>
        <v>0.55020853889297594</v>
      </c>
    </row>
    <row r="114" spans="4:4">
      <c r="D114" t="s">
        <v>418</v>
      </c>
    </row>
  </sheetData>
  <hyperlinks>
    <hyperlink ref="E16" r:id="rId1"/>
    <hyperlink ref="D76" r:id="rId2"/>
    <hyperlink ref="D71" r:id="rId3"/>
    <hyperlink ref="E26" r:id="rId4"/>
    <hyperlink ref="E37" r:id="rId5"/>
    <hyperlink ref="E5" r:id="rId6"/>
    <hyperlink ref="E36" r:id="rId7"/>
    <hyperlink ref="E35" r:id="rId8"/>
    <hyperlink ref="E18" r:id="rId9"/>
    <hyperlink ref="E14" location="'SA $ by prov 11-12'!A1" display="http://www.fin.gov.on.ca/en/budget/paccts/2012/12vol1eng.pdf"/>
    <hyperlink ref="E22" r:id="rId10"/>
  </hyperlinks>
  <pageMargins left="0.70866141732283472" right="0.70866141732283472" top="0.74803149606299213" bottom="0.74803149606299213" header="0.31496062992125984" footer="0.31496062992125984"/>
  <pageSetup scale="65" fitToWidth="2" orientation="landscape" verticalDpi="0" r:id="rId11"/>
</worksheet>
</file>

<file path=xl/worksheets/sheet24.xml><?xml version="1.0" encoding="utf-8"?>
<worksheet xmlns="http://schemas.openxmlformats.org/spreadsheetml/2006/main" xmlns:r="http://schemas.openxmlformats.org/officeDocument/2006/relationships">
  <dimension ref="A1:E113"/>
  <sheetViews>
    <sheetView topLeftCell="A37" workbookViewId="0">
      <selection activeCell="E64" sqref="E64"/>
    </sheetView>
  </sheetViews>
  <sheetFormatPr defaultRowHeight="12.75"/>
  <cols>
    <col min="1" max="1" width="33.7109375" customWidth="1"/>
    <col min="2" max="2" width="10.7109375" customWidth="1"/>
    <col min="4" max="4" width="85.7109375" customWidth="1"/>
    <col min="5" max="5" width="30.7109375" customWidth="1"/>
  </cols>
  <sheetData>
    <row r="1" spans="1:5" ht="15.75">
      <c r="A1" s="39"/>
      <c r="B1" s="40" t="s">
        <v>514</v>
      </c>
      <c r="C1" s="41"/>
      <c r="D1" s="42"/>
    </row>
    <row r="2" spans="1:5" ht="15.75">
      <c r="A2" s="39"/>
      <c r="B2" s="40" t="s">
        <v>16</v>
      </c>
      <c r="C2" s="41"/>
      <c r="D2" s="42"/>
    </row>
    <row r="3" spans="1:5">
      <c r="A3" s="39"/>
      <c r="B3" s="39"/>
      <c r="C3" s="39"/>
      <c r="D3" s="43"/>
    </row>
    <row r="4" spans="1:5" ht="25.5">
      <c r="A4" s="39" t="s">
        <v>28</v>
      </c>
      <c r="B4" s="44">
        <v>223.3</v>
      </c>
      <c r="C4" s="44"/>
      <c r="D4" s="43" t="s">
        <v>564</v>
      </c>
      <c r="E4" s="38" t="s">
        <v>525</v>
      </c>
    </row>
    <row r="5" spans="1:5" ht="25.5">
      <c r="A5" s="39" t="s">
        <v>29</v>
      </c>
      <c r="B5" s="122">
        <v>30.8</v>
      </c>
      <c r="C5" s="122"/>
      <c r="D5" s="124" t="s">
        <v>565</v>
      </c>
      <c r="E5" s="110" t="s">
        <v>289</v>
      </c>
    </row>
    <row r="6" spans="1:5" ht="25.5">
      <c r="A6" s="39" t="s">
        <v>30</v>
      </c>
      <c r="B6" s="44">
        <v>231.7</v>
      </c>
      <c r="C6" s="44"/>
      <c r="D6" s="43" t="s">
        <v>566</v>
      </c>
      <c r="E6" s="38" t="s">
        <v>526</v>
      </c>
    </row>
    <row r="7" spans="1:5">
      <c r="A7" s="39" t="s">
        <v>31</v>
      </c>
      <c r="B7" s="45"/>
      <c r="C7" s="45"/>
      <c r="D7" s="43"/>
    </row>
    <row r="8" spans="1:5">
      <c r="A8" s="39" t="s">
        <v>112</v>
      </c>
      <c r="B8" s="45">
        <v>132.6</v>
      </c>
      <c r="C8" s="45"/>
      <c r="D8" s="43"/>
    </row>
    <row r="9" spans="1:5">
      <c r="A9" s="39" t="s">
        <v>113</v>
      </c>
      <c r="B9" s="45">
        <v>42.3</v>
      </c>
      <c r="C9" s="45"/>
      <c r="D9" s="43"/>
    </row>
    <row r="10" spans="1:5">
      <c r="A10" s="39" t="s">
        <v>114</v>
      </c>
      <c r="B10" s="45">
        <v>23.5</v>
      </c>
      <c r="C10" s="45"/>
      <c r="D10" s="43"/>
    </row>
    <row r="11" spans="1:5">
      <c r="A11" s="39"/>
      <c r="B11" s="44">
        <f>SUM(B8:B10)</f>
        <v>198.39999999999998</v>
      </c>
      <c r="C11" s="44"/>
      <c r="D11" s="43" t="s">
        <v>527</v>
      </c>
      <c r="E11" s="38" t="s">
        <v>528</v>
      </c>
    </row>
    <row r="12" spans="1:5">
      <c r="A12" s="39" t="s">
        <v>32</v>
      </c>
      <c r="B12" s="44">
        <v>2896.8</v>
      </c>
      <c r="C12" s="44"/>
      <c r="D12" s="43" t="s">
        <v>567</v>
      </c>
      <c r="E12" s="38" t="s">
        <v>188</v>
      </c>
    </row>
    <row r="13" spans="1:5">
      <c r="A13" s="39" t="s">
        <v>33</v>
      </c>
      <c r="B13" s="45"/>
      <c r="C13" s="45"/>
      <c r="D13" s="43"/>
    </row>
    <row r="14" spans="1:5">
      <c r="A14" s="39" t="s">
        <v>115</v>
      </c>
      <c r="B14" s="126">
        <f>(C14/81)*100</f>
        <v>2767.5308641975307</v>
      </c>
      <c r="C14" s="45">
        <v>2241.6999999999998</v>
      </c>
      <c r="D14" s="39" t="s">
        <v>596</v>
      </c>
      <c r="E14" s="30" t="s">
        <v>189</v>
      </c>
    </row>
    <row r="15" spans="1:5">
      <c r="A15" s="39" t="s">
        <v>116</v>
      </c>
      <c r="B15" s="126">
        <f>C15</f>
        <v>3535.8</v>
      </c>
      <c r="C15" s="45">
        <v>3535.8</v>
      </c>
      <c r="D15" s="43" t="s">
        <v>597</v>
      </c>
    </row>
    <row r="16" spans="1:5" ht="14.25" customHeight="1">
      <c r="A16" s="39"/>
      <c r="B16" s="44">
        <f>SUM(B14:B15)</f>
        <v>6303.3308641975309</v>
      </c>
      <c r="C16" s="44">
        <f>SUM(C14:C15)</f>
        <v>5777.5</v>
      </c>
      <c r="D16" s="43" t="s">
        <v>568</v>
      </c>
      <c r="E16" s="38" t="s">
        <v>530</v>
      </c>
    </row>
    <row r="17" spans="1:5">
      <c r="A17" s="39" t="s">
        <v>34</v>
      </c>
      <c r="B17" s="45"/>
      <c r="C17" s="45"/>
      <c r="D17" s="43"/>
    </row>
    <row r="18" spans="1:5">
      <c r="A18" s="39" t="s">
        <v>133</v>
      </c>
      <c r="B18" s="45">
        <v>308.8</v>
      </c>
      <c r="C18" s="45"/>
      <c r="D18" s="43" t="s">
        <v>532</v>
      </c>
      <c r="E18" s="38" t="s">
        <v>550</v>
      </c>
    </row>
    <row r="19" spans="1:5">
      <c r="A19" s="39" t="s">
        <v>117</v>
      </c>
      <c r="B19" s="45">
        <v>24.4</v>
      </c>
      <c r="C19" s="45"/>
      <c r="D19" s="43"/>
    </row>
    <row r="20" spans="1:5">
      <c r="A20" s="39"/>
      <c r="B20" s="44">
        <f>SUM(B18:B19)</f>
        <v>333.2</v>
      </c>
      <c r="C20" s="44"/>
      <c r="D20" s="39"/>
    </row>
    <row r="21" spans="1:5">
      <c r="A21" s="39" t="s">
        <v>48</v>
      </c>
      <c r="B21" s="44"/>
      <c r="C21" s="44"/>
      <c r="D21" s="39"/>
    </row>
    <row r="22" spans="1:5">
      <c r="A22" s="39" t="s">
        <v>122</v>
      </c>
      <c r="B22" s="46">
        <v>215.5</v>
      </c>
      <c r="C22" s="44"/>
      <c r="D22" s="43" t="s">
        <v>556</v>
      </c>
      <c r="E22" s="38" t="s">
        <v>555</v>
      </c>
    </row>
    <row r="23" spans="1:5">
      <c r="A23" s="39" t="s">
        <v>123</v>
      </c>
      <c r="B23" s="46">
        <v>26.7</v>
      </c>
      <c r="C23" s="44"/>
      <c r="D23" s="43"/>
    </row>
    <row r="24" spans="1:5">
      <c r="A24" s="39"/>
      <c r="B24" s="44">
        <f>SUM(B22:B23)</f>
        <v>242.2</v>
      </c>
      <c r="C24" s="44"/>
      <c r="D24" s="39"/>
    </row>
    <row r="25" spans="1:5">
      <c r="A25" s="39" t="s">
        <v>35</v>
      </c>
      <c r="B25" s="45"/>
      <c r="C25" s="45"/>
      <c r="D25" s="43"/>
    </row>
    <row r="26" spans="1:5">
      <c r="A26" s="39" t="s">
        <v>124</v>
      </c>
      <c r="B26" s="45">
        <v>255.3</v>
      </c>
      <c r="C26" s="45"/>
      <c r="D26" s="124" t="s">
        <v>534</v>
      </c>
      <c r="E26" s="38" t="s">
        <v>533</v>
      </c>
    </row>
    <row r="27" spans="1:5">
      <c r="A27" s="39" t="s">
        <v>125</v>
      </c>
      <c r="B27" s="45">
        <v>63.5</v>
      </c>
      <c r="C27" s="45"/>
      <c r="D27" s="43"/>
    </row>
    <row r="28" spans="1:5">
      <c r="A28" s="39" t="s">
        <v>398</v>
      </c>
      <c r="B28" s="45">
        <v>170</v>
      </c>
      <c r="C28" s="45"/>
      <c r="D28" s="43"/>
    </row>
    <row r="29" spans="1:5">
      <c r="A29" s="39" t="s">
        <v>119</v>
      </c>
      <c r="B29" s="45">
        <v>2.4</v>
      </c>
      <c r="C29" s="45"/>
      <c r="D29" s="43"/>
    </row>
    <row r="30" spans="1:5">
      <c r="A30" s="39"/>
      <c r="B30" s="122">
        <f>SUM(B26:B29)</f>
        <v>491.2</v>
      </c>
      <c r="C30" s="44"/>
      <c r="D30" s="39"/>
    </row>
    <row r="31" spans="1:5">
      <c r="A31" s="39" t="s">
        <v>36</v>
      </c>
      <c r="B31" s="45"/>
      <c r="C31" s="45"/>
      <c r="D31" s="43"/>
    </row>
    <row r="32" spans="1:5" ht="38.25">
      <c r="A32" s="39" t="s">
        <v>120</v>
      </c>
      <c r="B32" s="45">
        <v>452.4</v>
      </c>
      <c r="C32" s="45"/>
      <c r="D32" s="43" t="s">
        <v>569</v>
      </c>
      <c r="E32" s="38" t="s">
        <v>535</v>
      </c>
    </row>
    <row r="33" spans="1:5">
      <c r="A33" s="39" t="s">
        <v>121</v>
      </c>
      <c r="B33" s="45">
        <v>777.1</v>
      </c>
      <c r="C33" s="45"/>
      <c r="D33" s="43"/>
    </row>
    <row r="34" spans="1:5">
      <c r="A34" s="39"/>
      <c r="B34" s="44">
        <f>SUM(B32:B33)</f>
        <v>1229.5</v>
      </c>
      <c r="C34" s="44"/>
      <c r="D34" s="39"/>
    </row>
    <row r="35" spans="1:5" ht="25.5">
      <c r="A35" s="39" t="s">
        <v>37</v>
      </c>
      <c r="B35" s="44">
        <v>13.5</v>
      </c>
      <c r="C35" s="45"/>
      <c r="D35" s="43" t="s">
        <v>537</v>
      </c>
      <c r="E35" s="38" t="s">
        <v>536</v>
      </c>
    </row>
    <row r="36" spans="1:5">
      <c r="A36" s="39" t="s">
        <v>38</v>
      </c>
      <c r="B36" s="47">
        <v>28</v>
      </c>
      <c r="C36" s="45" t="s">
        <v>437</v>
      </c>
      <c r="D36" s="43" t="s">
        <v>570</v>
      </c>
    </row>
    <row r="37" spans="1:5">
      <c r="A37" s="39" t="s">
        <v>39</v>
      </c>
      <c r="B37" s="47">
        <v>28</v>
      </c>
      <c r="C37" s="45" t="s">
        <v>437</v>
      </c>
      <c r="D37" s="43" t="s">
        <v>570</v>
      </c>
    </row>
    <row r="38" spans="1:5" ht="15.75">
      <c r="A38" s="48" t="s">
        <v>55</v>
      </c>
      <c r="B38" s="49">
        <f>B4+B5+B6+B11+B12+B16+B20+B24+B30+B34+B35+B36+B37</f>
        <v>12249.930864197533</v>
      </c>
      <c r="C38" s="44"/>
      <c r="D38" s="43"/>
    </row>
    <row r="39" spans="1:5">
      <c r="A39" s="50"/>
      <c r="B39" s="44"/>
      <c r="C39" s="44"/>
      <c r="D39" s="43"/>
    </row>
    <row r="40" spans="1:5" ht="15.75">
      <c r="A40" s="48" t="s">
        <v>62</v>
      </c>
      <c r="B40" s="139">
        <v>820</v>
      </c>
      <c r="C40" s="135" t="s">
        <v>782</v>
      </c>
      <c r="D40" s="125" t="s">
        <v>780</v>
      </c>
      <c r="E40" t="s">
        <v>781</v>
      </c>
    </row>
    <row r="41" spans="1:5" ht="15.75">
      <c r="A41" s="39"/>
      <c r="B41" s="49"/>
      <c r="C41" s="45"/>
      <c r="D41" s="43"/>
    </row>
    <row r="42" spans="1:5" ht="26.25">
      <c r="A42" s="48" t="s">
        <v>52</v>
      </c>
      <c r="B42" s="28">
        <v>539.1</v>
      </c>
      <c r="C42" s="39"/>
      <c r="D42" s="124" t="s">
        <v>606</v>
      </c>
      <c r="E42" s="38" t="s">
        <v>538</v>
      </c>
    </row>
    <row r="43" spans="1:5" ht="31.5">
      <c r="A43" s="290" t="s">
        <v>898</v>
      </c>
      <c r="B43" s="28">
        <v>29.5</v>
      </c>
      <c r="C43" s="106" t="s">
        <v>899</v>
      </c>
      <c r="D43" s="124"/>
      <c r="E43" s="38"/>
    </row>
    <row r="44" spans="1:5">
      <c r="A44" s="39"/>
      <c r="B44" s="39"/>
      <c r="C44" s="39"/>
      <c r="D44" s="39"/>
    </row>
    <row r="45" spans="1:5" ht="15.75">
      <c r="A45" s="48" t="s">
        <v>23</v>
      </c>
      <c r="B45" s="139">
        <f>SUM(B38:B43)</f>
        <v>13638.530864197533</v>
      </c>
      <c r="C45" s="135" t="s">
        <v>899</v>
      </c>
      <c r="D45" s="39"/>
    </row>
    <row r="46" spans="1:5">
      <c r="A46" s="39"/>
      <c r="B46" s="39"/>
      <c r="C46" s="39"/>
      <c r="D46" s="39"/>
    </row>
    <row r="48" spans="1:5">
      <c r="A48" s="107"/>
    </row>
    <row r="50" spans="1:4">
      <c r="A50" s="53" t="s">
        <v>199</v>
      </c>
    </row>
    <row r="51" spans="1:4">
      <c r="A51" s="30" t="s">
        <v>275</v>
      </c>
    </row>
    <row r="52" spans="1:4">
      <c r="A52" s="30" t="s">
        <v>200</v>
      </c>
    </row>
    <row r="53" spans="1:4">
      <c r="A53" s="184" t="s">
        <v>598</v>
      </c>
      <c r="B53" s="30"/>
      <c r="C53" s="30"/>
      <c r="D53" s="30"/>
    </row>
    <row r="56" spans="1:4" ht="15">
      <c r="A56" s="18" t="s">
        <v>549</v>
      </c>
      <c r="B56" s="9"/>
      <c r="C56" s="9"/>
    </row>
    <row r="57" spans="1:4">
      <c r="A57" t="s">
        <v>52</v>
      </c>
      <c r="B57" s="102">
        <f>B42</f>
        <v>539.1</v>
      </c>
      <c r="C57" s="9"/>
    </row>
    <row r="58" spans="1:4">
      <c r="A58" s="234" t="s">
        <v>898</v>
      </c>
      <c r="B58" s="102">
        <v>29.5</v>
      </c>
      <c r="C58" s="9"/>
    </row>
    <row r="59" spans="1:4">
      <c r="A59" t="s">
        <v>56</v>
      </c>
      <c r="B59" s="126">
        <f>B38*0.55</f>
        <v>6737.4619753086436</v>
      </c>
      <c r="D59" s="200" t="s">
        <v>643</v>
      </c>
    </row>
    <row r="60" spans="1:4">
      <c r="B60" s="127">
        <f>SUM(B57:B59)</f>
        <v>7306.0619753086439</v>
      </c>
      <c r="C60" s="8"/>
    </row>
    <row r="61" spans="1:4">
      <c r="A61" t="s">
        <v>27</v>
      </c>
      <c r="B61" s="126">
        <f>B40*0.55</f>
        <v>451.00000000000006</v>
      </c>
      <c r="D61" s="200" t="s">
        <v>644</v>
      </c>
    </row>
    <row r="62" spans="1:4">
      <c r="B62" s="126">
        <f>SUM(B60:B61)</f>
        <v>7757.0619753086439</v>
      </c>
    </row>
    <row r="63" spans="1:4">
      <c r="B63" s="19"/>
    </row>
    <row r="65" spans="1:5">
      <c r="A65" s="3" t="s">
        <v>557</v>
      </c>
      <c r="B65" s="3"/>
      <c r="C65" s="3"/>
      <c r="D65" s="3"/>
      <c r="E65" s="9"/>
    </row>
    <row r="66" spans="1:5">
      <c r="A66" s="3" t="s">
        <v>26</v>
      </c>
      <c r="B66" s="3"/>
      <c r="C66" s="3"/>
      <c r="D66" s="3"/>
    </row>
    <row r="68" spans="1:5">
      <c r="A68" t="s">
        <v>19</v>
      </c>
      <c r="B68" s="9">
        <f>B14</f>
        <v>2767.5308641975307</v>
      </c>
    </row>
    <row r="69" spans="1:5">
      <c r="A69" s="30" t="s">
        <v>20</v>
      </c>
      <c r="B69" s="31">
        <f>B15</f>
        <v>3535.8</v>
      </c>
      <c r="C69" s="15">
        <f>B69/B70</f>
        <v>0.56094152063047997</v>
      </c>
      <c r="D69" t="s">
        <v>609</v>
      </c>
    </row>
    <row r="70" spans="1:5">
      <c r="B70" s="21">
        <f>SUM(B68:B69)</f>
        <v>6303.3308641975309</v>
      </c>
      <c r="C70" s="3"/>
      <c r="D70" s="15"/>
    </row>
    <row r="71" spans="1:5">
      <c r="A71" t="s">
        <v>21</v>
      </c>
      <c r="B71" s="9">
        <f>B32</f>
        <v>452.4</v>
      </c>
      <c r="D71" s="15"/>
    </row>
    <row r="72" spans="1:5">
      <c r="A72" s="30" t="s">
        <v>22</v>
      </c>
      <c r="B72" s="31">
        <f>B33</f>
        <v>777.1</v>
      </c>
      <c r="D72" s="15"/>
    </row>
    <row r="73" spans="1:5">
      <c r="B73" s="21">
        <f>SUM(B71:B72)</f>
        <v>1229.5</v>
      </c>
      <c r="C73" s="15">
        <f>B72/B73</f>
        <v>0.63204554697031312</v>
      </c>
    </row>
    <row r="74" spans="1:5">
      <c r="A74" s="30" t="s">
        <v>144</v>
      </c>
      <c r="B74" s="30">
        <v>163.4</v>
      </c>
      <c r="D74" s="38" t="s">
        <v>550</v>
      </c>
    </row>
    <row r="75" spans="1:5">
      <c r="A75" s="30"/>
      <c r="B75" s="30"/>
      <c r="D75" t="s">
        <v>297</v>
      </c>
    </row>
    <row r="76" spans="1:5">
      <c r="A76" s="30" t="s">
        <v>145</v>
      </c>
      <c r="B76" s="31">
        <f>B19</f>
        <v>24.4</v>
      </c>
    </row>
    <row r="77" spans="1:5">
      <c r="A77" t="s">
        <v>210</v>
      </c>
      <c r="B77" s="21">
        <f>B20</f>
        <v>333.2</v>
      </c>
      <c r="C77" s="15">
        <f>(B74+B76)/B77</f>
        <v>0.56362545018007204</v>
      </c>
    </row>
    <row r="78" spans="1:5">
      <c r="A78" t="s">
        <v>147</v>
      </c>
      <c r="B78">
        <v>131.4</v>
      </c>
      <c r="D78" t="s">
        <v>552</v>
      </c>
    </row>
    <row r="79" spans="1:5">
      <c r="A79" s="30" t="s">
        <v>148</v>
      </c>
      <c r="B79" s="30">
        <v>108.2</v>
      </c>
      <c r="D79" s="38" t="s">
        <v>551</v>
      </c>
    </row>
    <row r="80" spans="1:5">
      <c r="B80" s="3">
        <f>SUM(B78:B79)</f>
        <v>239.60000000000002</v>
      </c>
      <c r="C80" s="15">
        <f>B79/B80</f>
        <v>0.45158597662771283</v>
      </c>
      <c r="D80" t="s">
        <v>669</v>
      </c>
    </row>
    <row r="83" spans="1:5">
      <c r="A83" s="3" t="s">
        <v>163</v>
      </c>
    </row>
    <row r="84" spans="1:5">
      <c r="A84" s="30" t="s">
        <v>32</v>
      </c>
      <c r="B84" s="31">
        <f>C80*B12</f>
        <v>1308.1542570951585</v>
      </c>
      <c r="D84" t="s">
        <v>211</v>
      </c>
    </row>
    <row r="85" spans="1:5">
      <c r="A85" s="184" t="s">
        <v>33</v>
      </c>
      <c r="B85" s="185">
        <f>B69</f>
        <v>3535.8</v>
      </c>
    </row>
    <row r="86" spans="1:5">
      <c r="A86" s="30" t="s">
        <v>150</v>
      </c>
      <c r="B86" s="31">
        <f>B74+B76</f>
        <v>187.8</v>
      </c>
    </row>
    <row r="87" spans="1:5">
      <c r="A87" s="30" t="s">
        <v>36</v>
      </c>
      <c r="B87" s="31">
        <f>B72</f>
        <v>777.1</v>
      </c>
    </row>
    <row r="88" spans="1:5">
      <c r="A88" t="s">
        <v>151</v>
      </c>
      <c r="B88" s="31">
        <f>SUM(B84:B87)</f>
        <v>5808.8542570951595</v>
      </c>
    </row>
    <row r="89" spans="1:5">
      <c r="A89" s="14" t="s">
        <v>152</v>
      </c>
      <c r="B89" s="9">
        <f>B12+B16+B20+B34</f>
        <v>10762.830864197531</v>
      </c>
    </row>
    <row r="90" spans="1:5" ht="18">
      <c r="A90" s="30" t="s">
        <v>153</v>
      </c>
      <c r="B90" s="32">
        <f>B88/B89</f>
        <v>0.53971434935563889</v>
      </c>
      <c r="D90" s="212" t="s">
        <v>645</v>
      </c>
      <c r="E90" s="213" t="s">
        <v>646</v>
      </c>
    </row>
    <row r="93" spans="1:5">
      <c r="A93" s="170" t="s">
        <v>563</v>
      </c>
    </row>
    <row r="94" spans="1:5">
      <c r="A94" s="211" t="s">
        <v>671</v>
      </c>
      <c r="B94" s="153"/>
      <c r="C94" s="153"/>
      <c r="D94" s="153"/>
    </row>
    <row r="96" spans="1:5" ht="15.75">
      <c r="A96" s="210" t="s">
        <v>626</v>
      </c>
      <c r="B96" s="210"/>
      <c r="C96" s="153"/>
    </row>
    <row r="97" spans="1:4">
      <c r="B97" s="52" t="s">
        <v>633</v>
      </c>
      <c r="C97" s="52" t="s">
        <v>634</v>
      </c>
    </row>
    <row r="98" spans="1:4">
      <c r="A98" t="s">
        <v>627</v>
      </c>
      <c r="B98" s="9">
        <f>NFLD!B108</f>
        <v>55.825000000000003</v>
      </c>
    </row>
    <row r="99" spans="1:4">
      <c r="A99" t="s">
        <v>628</v>
      </c>
      <c r="B99" s="9">
        <f>PEI!B108</f>
        <v>16.940000000000001</v>
      </c>
    </row>
    <row r="100" spans="1:4">
      <c r="A100" s="52" t="s">
        <v>629</v>
      </c>
      <c r="B100" s="9">
        <f>NS!B109</f>
        <v>127.435</v>
      </c>
    </row>
    <row r="101" spans="1:4">
      <c r="A101" t="s">
        <v>630</v>
      </c>
      <c r="B101" s="9">
        <f>NB!B106</f>
        <v>42.3</v>
      </c>
    </row>
    <row r="102" spans="1:4">
      <c r="A102" s="52" t="s">
        <v>632</v>
      </c>
      <c r="B102" s="9">
        <f>QUE!B110</f>
        <v>1303.5600000000002</v>
      </c>
    </row>
    <row r="103" spans="1:4">
      <c r="A103" t="s">
        <v>216</v>
      </c>
      <c r="B103" s="9">
        <f>'ONT Disability details 10-11'!B26</f>
        <v>3535.8</v>
      </c>
    </row>
    <row r="104" spans="1:4">
      <c r="A104" t="s">
        <v>320</v>
      </c>
      <c r="B104" s="9">
        <f>Manitoba!B108</f>
        <v>187.8</v>
      </c>
    </row>
    <row r="105" spans="1:4">
      <c r="A105" t="s">
        <v>631</v>
      </c>
      <c r="B105" s="9">
        <f>SASK!B106</f>
        <v>118.52500000000001</v>
      </c>
    </row>
    <row r="106" spans="1:4">
      <c r="A106" t="s">
        <v>411</v>
      </c>
      <c r="B106" s="9">
        <f>Alberta!B110</f>
        <v>170</v>
      </c>
    </row>
    <row r="107" spans="1:4">
      <c r="A107" t="s">
        <v>36</v>
      </c>
      <c r="B107" s="9">
        <f>BC!B108</f>
        <v>777.1</v>
      </c>
    </row>
    <row r="108" spans="1:4" ht="15.75">
      <c r="B108" s="9">
        <f>SUM(B98:B107)</f>
        <v>6335.2850000000008</v>
      </c>
      <c r="C108" s="9">
        <f>B38</f>
        <v>12249.930864197533</v>
      </c>
      <c r="D108" s="209">
        <f>B108/C108</f>
        <v>0.51716904121605523</v>
      </c>
    </row>
    <row r="109" spans="1:4" ht="15.75">
      <c r="A109" s="52" t="s">
        <v>635</v>
      </c>
      <c r="B109" s="9">
        <f>B42</f>
        <v>539.1</v>
      </c>
      <c r="C109" s="9">
        <f>B42</f>
        <v>539.1</v>
      </c>
      <c r="D109" s="209"/>
    </row>
    <row r="110" spans="1:4" ht="15.75">
      <c r="B110" s="9">
        <f>SUM(B108:B109)</f>
        <v>6874.3850000000011</v>
      </c>
      <c r="C110" s="9">
        <f>SUM(C108:C109)</f>
        <v>12789.030864197533</v>
      </c>
      <c r="D110" s="209">
        <f>B110/C110</f>
        <v>0.53752196495550053</v>
      </c>
    </row>
    <row r="113" spans="1:4">
      <c r="A113" s="136" t="s">
        <v>783</v>
      </c>
      <c r="B113" s="136"/>
      <c r="C113" s="136"/>
      <c r="D113" s="136"/>
    </row>
  </sheetData>
  <hyperlinks>
    <hyperlink ref="E12" r:id="rId1"/>
    <hyperlink ref="E4" r:id="rId2"/>
    <hyperlink ref="E6" r:id="rId3"/>
    <hyperlink ref="E11" r:id="rId4"/>
    <hyperlink ref="E16" r:id="rId5"/>
    <hyperlink ref="E26" r:id="rId6"/>
    <hyperlink ref="E32" r:id="rId7"/>
    <hyperlink ref="E35" r:id="rId8"/>
    <hyperlink ref="E42" r:id="rId9"/>
    <hyperlink ref="D79" r:id="rId10"/>
    <hyperlink ref="E22" r:id="rId11"/>
    <hyperlink ref="E5" r:id="rId12"/>
    <hyperlink ref="E18" r:id="rId13"/>
  </hyperlinks>
  <pageMargins left="0.70866141732283472" right="0.70866141732283472" top="0.74803149606299213" bottom="0.74803149606299213" header="0.31496062992125984" footer="0.31496062992125984"/>
  <pageSetup scale="75" fitToHeight="2" orientation="landscape" r:id="rId14"/>
</worksheet>
</file>

<file path=xl/worksheets/sheet25.xml><?xml version="1.0" encoding="utf-8"?>
<worksheet xmlns="http://schemas.openxmlformats.org/spreadsheetml/2006/main" xmlns:r="http://schemas.openxmlformats.org/officeDocument/2006/relationships">
  <sheetPr>
    <pageSetUpPr fitToPage="1"/>
  </sheetPr>
  <dimension ref="A1:E100"/>
  <sheetViews>
    <sheetView workbookViewId="0">
      <selection activeCell="D33" sqref="D33"/>
    </sheetView>
  </sheetViews>
  <sheetFormatPr defaultRowHeight="12.75"/>
  <cols>
    <col min="1" max="1" width="33.7109375" customWidth="1"/>
    <col min="2" max="2" width="10.7109375" customWidth="1"/>
    <col min="3" max="3" width="10" bestFit="1" customWidth="1"/>
    <col min="4" max="4" width="85.7109375" customWidth="1"/>
    <col min="5" max="5" width="30.7109375" customWidth="1"/>
  </cols>
  <sheetData>
    <row r="1" spans="1:5" ht="15.75">
      <c r="A1" s="39"/>
      <c r="B1" s="40" t="s">
        <v>181</v>
      </c>
      <c r="C1" s="41"/>
      <c r="D1" s="42"/>
    </row>
    <row r="2" spans="1:5" ht="15.75">
      <c r="A2" s="39"/>
      <c r="B2" s="40" t="s">
        <v>16</v>
      </c>
      <c r="C2" s="41"/>
      <c r="D2" s="42"/>
    </row>
    <row r="3" spans="1:5">
      <c r="A3" s="39"/>
      <c r="B3" s="39"/>
      <c r="C3" s="39"/>
      <c r="D3" s="43"/>
    </row>
    <row r="4" spans="1:5" ht="25.5">
      <c r="A4" s="39" t="s">
        <v>28</v>
      </c>
      <c r="B4" s="44">
        <v>217.6</v>
      </c>
      <c r="C4" s="44"/>
      <c r="D4" s="43" t="s">
        <v>182</v>
      </c>
      <c r="E4" t="s">
        <v>183</v>
      </c>
    </row>
    <row r="5" spans="1:5" ht="25.5">
      <c r="A5" s="39" t="s">
        <v>29</v>
      </c>
      <c r="B5" s="122">
        <v>29.2</v>
      </c>
      <c r="C5" s="122" t="s">
        <v>237</v>
      </c>
      <c r="D5" s="124" t="s">
        <v>290</v>
      </c>
      <c r="E5" s="103" t="s">
        <v>289</v>
      </c>
    </row>
    <row r="6" spans="1:5" ht="25.5">
      <c r="A6" s="39" t="s">
        <v>30</v>
      </c>
      <c r="B6" s="44">
        <v>223.4</v>
      </c>
      <c r="C6" s="44"/>
      <c r="D6" s="43" t="s">
        <v>184</v>
      </c>
      <c r="E6" t="s">
        <v>185</v>
      </c>
    </row>
    <row r="7" spans="1:5">
      <c r="A7" s="39" t="s">
        <v>31</v>
      </c>
      <c r="B7" s="45"/>
      <c r="C7" s="45"/>
      <c r="D7" s="43"/>
    </row>
    <row r="8" spans="1:5">
      <c r="A8" s="39" t="s">
        <v>111</v>
      </c>
      <c r="B8" s="45">
        <v>2.9</v>
      </c>
      <c r="C8" s="45"/>
      <c r="D8" s="43"/>
    </row>
    <row r="9" spans="1:5">
      <c r="A9" s="39" t="s">
        <v>112</v>
      </c>
      <c r="B9" s="45">
        <v>120.2</v>
      </c>
      <c r="C9" s="45"/>
      <c r="D9" s="43"/>
    </row>
    <row r="10" spans="1:5">
      <c r="A10" s="39" t="s">
        <v>113</v>
      </c>
      <c r="B10" s="45">
        <v>42.2</v>
      </c>
      <c r="C10" s="45"/>
      <c r="D10" s="43"/>
    </row>
    <row r="11" spans="1:5">
      <c r="A11" s="39" t="s">
        <v>114</v>
      </c>
      <c r="B11" s="45">
        <v>24.2</v>
      </c>
      <c r="C11" s="45"/>
      <c r="D11" s="43"/>
    </row>
    <row r="12" spans="1:5">
      <c r="A12" s="39"/>
      <c r="B12" s="44">
        <f>SUM(B8:B11)</f>
        <v>189.5</v>
      </c>
      <c r="C12" s="44"/>
      <c r="D12" s="43" t="s">
        <v>186</v>
      </c>
      <c r="E12" t="s">
        <v>187</v>
      </c>
    </row>
    <row r="13" spans="1:5">
      <c r="A13" s="39" t="s">
        <v>32</v>
      </c>
      <c r="B13" s="44">
        <v>2895</v>
      </c>
      <c r="C13" s="44"/>
      <c r="D13" s="43" t="s">
        <v>529</v>
      </c>
      <c r="E13" s="38" t="s">
        <v>188</v>
      </c>
    </row>
    <row r="14" spans="1:5">
      <c r="A14" s="39" t="s">
        <v>33</v>
      </c>
      <c r="B14" s="45"/>
      <c r="C14" s="45"/>
      <c r="D14" s="43"/>
    </row>
    <row r="15" spans="1:5" ht="25.5">
      <c r="A15" s="39" t="s">
        <v>115</v>
      </c>
      <c r="B15" s="45">
        <f>C15*1.25</f>
        <v>2509.25</v>
      </c>
      <c r="C15" s="45">
        <v>2007.4</v>
      </c>
      <c r="D15" s="43" t="s">
        <v>593</v>
      </c>
      <c r="E15" s="30" t="s">
        <v>189</v>
      </c>
    </row>
    <row r="16" spans="1:5">
      <c r="A16" s="39" t="s">
        <v>116</v>
      </c>
      <c r="B16" s="154">
        <f>C16</f>
        <v>3294.5</v>
      </c>
      <c r="C16" s="45">
        <v>3294.5</v>
      </c>
      <c r="D16" s="175" t="s">
        <v>587</v>
      </c>
    </row>
    <row r="17" spans="1:5">
      <c r="A17" s="39"/>
      <c r="B17" s="174">
        <f>SUM(B15:B16)</f>
        <v>5803.75</v>
      </c>
      <c r="C17" s="44">
        <f>SUM(C15:C16)</f>
        <v>5301.9</v>
      </c>
      <c r="D17" s="175" t="s">
        <v>588</v>
      </c>
      <c r="E17" s="38" t="s">
        <v>190</v>
      </c>
    </row>
    <row r="18" spans="1:5">
      <c r="A18" s="39" t="s">
        <v>34</v>
      </c>
      <c r="B18" s="45"/>
      <c r="C18" s="45"/>
      <c r="D18" s="43"/>
    </row>
    <row r="19" spans="1:5">
      <c r="A19" s="39" t="s">
        <v>133</v>
      </c>
      <c r="B19" s="45">
        <v>297</v>
      </c>
      <c r="C19" s="45"/>
      <c r="D19" s="43" t="s">
        <v>531</v>
      </c>
      <c r="E19" t="s">
        <v>191</v>
      </c>
    </row>
    <row r="20" spans="1:5">
      <c r="A20" s="39" t="s">
        <v>117</v>
      </c>
      <c r="B20" s="45">
        <v>23.1</v>
      </c>
      <c r="C20" s="45"/>
      <c r="D20" s="43"/>
    </row>
    <row r="21" spans="1:5">
      <c r="A21" s="39"/>
      <c r="B21" s="44">
        <f>SUM(B19:B20)</f>
        <v>320.10000000000002</v>
      </c>
      <c r="C21" s="44"/>
      <c r="D21" s="39"/>
    </row>
    <row r="22" spans="1:5">
      <c r="A22" s="39" t="s">
        <v>48</v>
      </c>
      <c r="B22" s="44"/>
      <c r="C22" s="44"/>
      <c r="D22" s="39"/>
    </row>
    <row r="23" spans="1:5">
      <c r="A23" s="39" t="s">
        <v>122</v>
      </c>
      <c r="B23" s="46">
        <v>234.6</v>
      </c>
      <c r="C23" s="44"/>
      <c r="D23" s="43" t="s">
        <v>192</v>
      </c>
      <c r="E23" s="38" t="s">
        <v>193</v>
      </c>
    </row>
    <row r="24" spans="1:5">
      <c r="A24" s="39" t="s">
        <v>123</v>
      </c>
      <c r="B24" s="46">
        <v>24.4</v>
      </c>
      <c r="C24" s="44"/>
      <c r="D24" s="43"/>
    </row>
    <row r="25" spans="1:5">
      <c r="A25" s="39"/>
      <c r="B25" s="44">
        <f>SUM(B23:B24)</f>
        <v>259</v>
      </c>
      <c r="C25" s="44"/>
      <c r="D25" s="39"/>
    </row>
    <row r="26" spans="1:5">
      <c r="A26" s="39" t="s">
        <v>35</v>
      </c>
      <c r="B26" s="45"/>
      <c r="C26" s="45"/>
      <c r="D26" s="43"/>
    </row>
    <row r="27" spans="1:5">
      <c r="A27" s="39" t="s">
        <v>124</v>
      </c>
      <c r="B27" s="45">
        <v>255</v>
      </c>
      <c r="C27" s="45" t="s">
        <v>237</v>
      </c>
      <c r="D27" s="124" t="s">
        <v>397</v>
      </c>
      <c r="E27" s="145" t="s">
        <v>291</v>
      </c>
    </row>
    <row r="28" spans="1:5">
      <c r="A28" s="39" t="s">
        <v>125</v>
      </c>
      <c r="B28" s="45">
        <v>82.1</v>
      </c>
      <c r="C28" t="s">
        <v>237</v>
      </c>
      <c r="D28" s="43"/>
    </row>
    <row r="29" spans="1:5">
      <c r="A29" s="39" t="s">
        <v>398</v>
      </c>
      <c r="B29" s="45">
        <v>153.1</v>
      </c>
      <c r="C29" s="45"/>
      <c r="D29" s="43"/>
    </row>
    <row r="30" spans="1:5">
      <c r="A30" s="39" t="s">
        <v>119</v>
      </c>
      <c r="B30" s="45">
        <v>3.4</v>
      </c>
      <c r="C30" s="45"/>
      <c r="D30" s="43"/>
    </row>
    <row r="31" spans="1:5">
      <c r="A31" s="39"/>
      <c r="B31" s="122">
        <f>SUM(B27:B30)</f>
        <v>493.6</v>
      </c>
      <c r="C31" s="44"/>
      <c r="D31" s="39"/>
    </row>
    <row r="32" spans="1:5">
      <c r="A32" s="39" t="s">
        <v>36</v>
      </c>
      <c r="B32" s="45"/>
      <c r="C32" s="45"/>
      <c r="D32" s="43"/>
    </row>
    <row r="33" spans="1:5" ht="38.25">
      <c r="A33" s="39" t="s">
        <v>120</v>
      </c>
      <c r="B33" s="45">
        <v>429.5</v>
      </c>
      <c r="C33" s="45"/>
      <c r="D33" s="43" t="s">
        <v>194</v>
      </c>
      <c r="E33" s="38" t="s">
        <v>195</v>
      </c>
    </row>
    <row r="34" spans="1:5">
      <c r="A34" s="39" t="s">
        <v>121</v>
      </c>
      <c r="B34" s="45">
        <v>732.3</v>
      </c>
      <c r="C34" s="45"/>
      <c r="D34" s="43"/>
    </row>
    <row r="35" spans="1:5">
      <c r="A35" s="39"/>
      <c r="B35" s="44">
        <f>SUM(B33:B34)</f>
        <v>1161.8</v>
      </c>
      <c r="C35" s="44"/>
      <c r="D35" s="39"/>
    </row>
    <row r="36" spans="1:5" ht="25.5">
      <c r="A36" s="39" t="s">
        <v>37</v>
      </c>
      <c r="B36" s="44">
        <v>12.9</v>
      </c>
      <c r="C36" s="45"/>
      <c r="D36" s="43" t="s">
        <v>196</v>
      </c>
      <c r="E36" s="38" t="s">
        <v>197</v>
      </c>
    </row>
    <row r="37" spans="1:5">
      <c r="A37" s="39" t="s">
        <v>38</v>
      </c>
      <c r="B37" s="47">
        <v>25.2</v>
      </c>
      <c r="C37" s="45"/>
      <c r="D37" s="43" t="s">
        <v>198</v>
      </c>
    </row>
    <row r="38" spans="1:5">
      <c r="A38" s="39" t="s">
        <v>39</v>
      </c>
      <c r="B38" s="47">
        <v>28.3</v>
      </c>
      <c r="C38" s="45"/>
      <c r="D38" s="43" t="s">
        <v>198</v>
      </c>
    </row>
    <row r="39" spans="1:5" ht="15.75">
      <c r="A39" s="48" t="s">
        <v>55</v>
      </c>
      <c r="B39" s="176">
        <f>B4+B5+B6+B12+B13+B17+B21+B25+B31+B35+B36+B37+B38</f>
        <v>11659.35</v>
      </c>
      <c r="C39" s="44"/>
      <c r="D39" s="175" t="s">
        <v>594</v>
      </c>
    </row>
    <row r="40" spans="1:5">
      <c r="A40" s="50"/>
      <c r="B40" s="44"/>
      <c r="C40" s="44"/>
      <c r="D40" s="43"/>
    </row>
    <row r="41" spans="1:5" ht="26.25">
      <c r="A41" s="48" t="s">
        <v>62</v>
      </c>
      <c r="B41" s="28">
        <v>803</v>
      </c>
      <c r="C41" s="45" t="s">
        <v>237</v>
      </c>
      <c r="D41" s="125" t="s">
        <v>788</v>
      </c>
    </row>
    <row r="42" spans="1:5" ht="15.75">
      <c r="A42" s="39"/>
      <c r="B42" s="49"/>
      <c r="C42" s="45"/>
      <c r="D42" s="43"/>
    </row>
    <row r="43" spans="1:5" ht="26.25">
      <c r="A43" s="48" t="s">
        <v>52</v>
      </c>
      <c r="B43" s="28">
        <v>517.70000000000005</v>
      </c>
      <c r="C43" s="39" t="s">
        <v>237</v>
      </c>
      <c r="D43" s="124" t="s">
        <v>292</v>
      </c>
      <c r="E43" s="110" t="s">
        <v>410</v>
      </c>
    </row>
    <row r="44" spans="1:5">
      <c r="A44" s="39"/>
      <c r="B44" s="39"/>
      <c r="C44" s="39"/>
      <c r="D44" s="39"/>
    </row>
    <row r="45" spans="1:5" ht="15.75">
      <c r="A45" s="48" t="s">
        <v>23</v>
      </c>
      <c r="B45" s="176">
        <f>B39+B41+B43</f>
        <v>12980.050000000001</v>
      </c>
      <c r="C45" s="39" t="s">
        <v>237</v>
      </c>
      <c r="D45" s="175" t="s">
        <v>594</v>
      </c>
    </row>
    <row r="46" spans="1:5">
      <c r="A46" s="39"/>
      <c r="B46" s="39"/>
      <c r="C46" s="39"/>
      <c r="D46" s="39"/>
    </row>
    <row r="48" spans="1:5">
      <c r="A48" s="107" t="s">
        <v>288</v>
      </c>
    </row>
    <row r="50" spans="1:5">
      <c r="A50" s="2" t="s">
        <v>199</v>
      </c>
    </row>
    <row r="51" spans="1:5">
      <c r="A51" s="52" t="s">
        <v>275</v>
      </c>
    </row>
    <row r="52" spans="1:5">
      <c r="A52" s="52" t="s">
        <v>879</v>
      </c>
    </row>
    <row r="53" spans="1:5">
      <c r="A53" s="153" t="s">
        <v>595</v>
      </c>
      <c r="B53" s="153"/>
      <c r="C53" s="153"/>
      <c r="D53" s="153"/>
    </row>
    <row r="56" spans="1:5" ht="15">
      <c r="A56" s="18" t="s">
        <v>208</v>
      </c>
      <c r="B56" s="9"/>
      <c r="C56" s="9"/>
    </row>
    <row r="57" spans="1:5">
      <c r="A57" t="s">
        <v>52</v>
      </c>
      <c r="B57" s="102">
        <f>B43</f>
        <v>517.70000000000005</v>
      </c>
      <c r="C57" s="9" t="s">
        <v>237</v>
      </c>
    </row>
    <row r="58" spans="1:5">
      <c r="A58" t="s">
        <v>56</v>
      </c>
      <c r="B58" s="188">
        <f>B39*0.55</f>
        <v>6412.6425000000008</v>
      </c>
      <c r="C58" s="153" t="s">
        <v>592</v>
      </c>
      <c r="D58" s="200" t="s">
        <v>643</v>
      </c>
    </row>
    <row r="59" spans="1:5">
      <c r="B59" s="190">
        <f>SUM(B57:B58)</f>
        <v>6930.3425000000007</v>
      </c>
      <c r="C59" s="153" t="s">
        <v>592</v>
      </c>
    </row>
    <row r="60" spans="1:5">
      <c r="A60" t="s">
        <v>27</v>
      </c>
      <c r="B60" s="126">
        <f>B41*0.55</f>
        <v>441.65000000000003</v>
      </c>
      <c r="C60" t="s">
        <v>237</v>
      </c>
      <c r="D60" s="200" t="s">
        <v>643</v>
      </c>
    </row>
    <row r="61" spans="1:5">
      <c r="B61" s="188">
        <f>SUM(B59:B60)</f>
        <v>7371.9925000000003</v>
      </c>
      <c r="C61" s="153" t="s">
        <v>592</v>
      </c>
    </row>
    <row r="62" spans="1:5">
      <c r="B62" s="19"/>
    </row>
    <row r="64" spans="1:5">
      <c r="A64" s="3" t="s">
        <v>670</v>
      </c>
      <c r="B64" s="3"/>
      <c r="C64" s="3"/>
      <c r="D64" s="3"/>
      <c r="E64" s="9"/>
    </row>
    <row r="65" spans="1:4">
      <c r="A65" s="3" t="s">
        <v>26</v>
      </c>
      <c r="B65" s="3"/>
      <c r="C65" s="3"/>
      <c r="D65" s="3"/>
    </row>
    <row r="67" spans="1:4">
      <c r="A67" t="s">
        <v>19</v>
      </c>
      <c r="B67" s="9">
        <f>B15</f>
        <v>2509.25</v>
      </c>
    </row>
    <row r="68" spans="1:4">
      <c r="A68" s="30" t="s">
        <v>20</v>
      </c>
      <c r="B68" s="182">
        <f>B16</f>
        <v>3294.5</v>
      </c>
      <c r="C68" s="153" t="s">
        <v>592</v>
      </c>
      <c r="D68" s="186">
        <f>B68/B69</f>
        <v>0.56765022614688776</v>
      </c>
    </row>
    <row r="69" spans="1:4">
      <c r="B69" s="21">
        <f>SUM(B67:B68)</f>
        <v>5803.75</v>
      </c>
      <c r="C69" s="3"/>
      <c r="D69" s="15"/>
    </row>
    <row r="70" spans="1:4">
      <c r="A70" t="s">
        <v>21</v>
      </c>
      <c r="B70" s="9">
        <f>B33</f>
        <v>429.5</v>
      </c>
      <c r="D70" s="15"/>
    </row>
    <row r="71" spans="1:4">
      <c r="A71" s="30" t="s">
        <v>22</v>
      </c>
      <c r="B71" s="31">
        <f>B34</f>
        <v>732.3</v>
      </c>
      <c r="D71" s="15"/>
    </row>
    <row r="72" spans="1:4">
      <c r="B72" s="21">
        <f>SUM(B70:B71)</f>
        <v>1161.8</v>
      </c>
      <c r="C72" s="3"/>
      <c r="D72" s="15">
        <f>B71/B72</f>
        <v>0.63031502840420039</v>
      </c>
    </row>
    <row r="73" spans="1:4">
      <c r="A73" s="30" t="s">
        <v>144</v>
      </c>
      <c r="B73" s="30">
        <v>153.80000000000001</v>
      </c>
      <c r="D73" s="38" t="s">
        <v>209</v>
      </c>
    </row>
    <row r="74" spans="1:4">
      <c r="A74" s="30"/>
      <c r="B74" s="30"/>
      <c r="D74" t="s">
        <v>297</v>
      </c>
    </row>
    <row r="75" spans="1:4">
      <c r="A75" s="30" t="s">
        <v>145</v>
      </c>
      <c r="B75" s="31">
        <f>B20</f>
        <v>23.1</v>
      </c>
    </row>
    <row r="76" spans="1:4">
      <c r="A76" t="s">
        <v>210</v>
      </c>
      <c r="B76" s="21">
        <f>B21</f>
        <v>320.10000000000002</v>
      </c>
      <c r="D76" s="15">
        <f>(B73+B75)/B76</f>
        <v>0.55263980006248048</v>
      </c>
    </row>
    <row r="77" spans="1:4">
      <c r="A77" t="s">
        <v>147</v>
      </c>
      <c r="B77">
        <v>136.80000000000001</v>
      </c>
      <c r="D77" t="s">
        <v>298</v>
      </c>
    </row>
    <row r="78" spans="1:4">
      <c r="A78" s="30" t="s">
        <v>148</v>
      </c>
      <c r="B78" s="30">
        <v>107.5</v>
      </c>
      <c r="D78" s="38" t="s">
        <v>299</v>
      </c>
    </row>
    <row r="79" spans="1:4">
      <c r="B79" s="3">
        <f>SUM(B77:B78)</f>
        <v>244.3</v>
      </c>
      <c r="D79" s="15">
        <f>B78/B79</f>
        <v>0.44003274662300446</v>
      </c>
    </row>
    <row r="80" spans="1:4">
      <c r="D80" t="s">
        <v>300</v>
      </c>
    </row>
    <row r="82" spans="1:5">
      <c r="A82" s="3" t="s">
        <v>163</v>
      </c>
    </row>
    <row r="83" spans="1:5">
      <c r="A83" s="30" t="s">
        <v>32</v>
      </c>
      <c r="B83" s="31">
        <f>D79*B13</f>
        <v>1273.8948014735979</v>
      </c>
      <c r="D83" t="s">
        <v>211</v>
      </c>
    </row>
    <row r="84" spans="1:5">
      <c r="A84" s="30" t="s">
        <v>33</v>
      </c>
      <c r="B84" s="182">
        <f>B68</f>
        <v>3294.5</v>
      </c>
      <c r="C84" s="153" t="s">
        <v>592</v>
      </c>
    </row>
    <row r="85" spans="1:5">
      <c r="A85" s="30" t="s">
        <v>150</v>
      </c>
      <c r="B85" s="31">
        <f>B73+B75</f>
        <v>176.9</v>
      </c>
    </row>
    <row r="86" spans="1:5">
      <c r="A86" s="30" t="s">
        <v>36</v>
      </c>
      <c r="B86" s="31">
        <f>B71</f>
        <v>732.3</v>
      </c>
    </row>
    <row r="87" spans="1:5">
      <c r="A87" t="s">
        <v>151</v>
      </c>
      <c r="B87" s="182">
        <f>SUM(B83:B86)</f>
        <v>5477.5948014735977</v>
      </c>
      <c r="C87" s="153" t="s">
        <v>592</v>
      </c>
    </row>
    <row r="88" spans="1:5">
      <c r="A88" s="14" t="s">
        <v>152</v>
      </c>
      <c r="B88" s="154">
        <f>B13+B17+B21+B35</f>
        <v>10180.65</v>
      </c>
      <c r="C88" s="153" t="s">
        <v>592</v>
      </c>
    </row>
    <row r="89" spans="1:5" ht="18">
      <c r="A89" s="30" t="s">
        <v>153</v>
      </c>
      <c r="B89" s="189">
        <f>B87/B88</f>
        <v>0.53803979131721436</v>
      </c>
      <c r="D89" s="108" t="s">
        <v>645</v>
      </c>
      <c r="E89" s="53" t="s">
        <v>646</v>
      </c>
    </row>
    <row r="92" spans="1:5">
      <c r="A92" s="53" t="s">
        <v>199</v>
      </c>
    </row>
    <row r="93" spans="1:5">
      <c r="A93" s="52" t="s">
        <v>275</v>
      </c>
    </row>
    <row r="94" spans="1:5">
      <c r="A94" t="s">
        <v>200</v>
      </c>
    </row>
    <row r="95" spans="1:5">
      <c r="A95" s="153" t="s">
        <v>595</v>
      </c>
      <c r="B95" s="153"/>
      <c r="C95" s="153"/>
      <c r="D95" s="153"/>
    </row>
    <row r="97" spans="1:4">
      <c r="A97" t="s">
        <v>293</v>
      </c>
    </row>
    <row r="99" spans="1:4">
      <c r="A99" s="153" t="s">
        <v>599</v>
      </c>
      <c r="B99" s="153"/>
      <c r="C99" s="153"/>
      <c r="D99" s="153"/>
    </row>
    <row r="100" spans="1:4">
      <c r="A100" s="211" t="s">
        <v>671</v>
      </c>
      <c r="B100" s="153"/>
      <c r="C100" s="153"/>
      <c r="D100" s="153"/>
    </row>
  </sheetData>
  <hyperlinks>
    <hyperlink ref="E17" r:id="rId1"/>
    <hyperlink ref="E36" r:id="rId2"/>
    <hyperlink ref="D73" r:id="rId3"/>
    <hyperlink ref="E27" r:id="rId4"/>
    <hyperlink ref="E33" r:id="rId5"/>
    <hyperlink ref="D78" r:id="rId6"/>
    <hyperlink ref="E13" r:id="rId7"/>
    <hyperlink ref="E23" r:id="rId8"/>
  </hyperlinks>
  <pageMargins left="0.70866141732283472" right="0.70866141732283472" top="0.74803149606299213" bottom="0.74803149606299213" header="0.31496062992125984" footer="0.31496062992125984"/>
  <pageSetup scale="55" fitToHeight="2" orientation="landscape" verticalDpi="0" r:id="rId9"/>
</worksheet>
</file>

<file path=xl/worksheets/sheet26.xml><?xml version="1.0" encoding="utf-8"?>
<worksheet xmlns="http://schemas.openxmlformats.org/spreadsheetml/2006/main" xmlns:r="http://schemas.openxmlformats.org/officeDocument/2006/relationships">
  <dimension ref="A1:F90"/>
  <sheetViews>
    <sheetView topLeftCell="A51" workbookViewId="0">
      <selection activeCell="B57" sqref="B57"/>
    </sheetView>
  </sheetViews>
  <sheetFormatPr defaultRowHeight="12.75"/>
  <cols>
    <col min="1" max="1" width="31.7109375" customWidth="1"/>
    <col min="2" max="2" width="10.140625" bestFit="1" customWidth="1"/>
    <col min="3" max="3" width="10" bestFit="1" customWidth="1"/>
    <col min="4" max="4" width="85.7109375" customWidth="1"/>
    <col min="5" max="5" width="30.7109375" customWidth="1"/>
  </cols>
  <sheetData>
    <row r="1" spans="1:6" ht="15.75">
      <c r="A1" s="4" t="s">
        <v>142</v>
      </c>
      <c r="F1" s="2"/>
    </row>
    <row r="2" spans="1:6">
      <c r="B2" s="1"/>
      <c r="C2" s="1"/>
      <c r="D2" s="1"/>
      <c r="E2" s="1"/>
      <c r="F2" s="1"/>
    </row>
    <row r="4" spans="1:6" ht="15.75">
      <c r="B4" s="23" t="s">
        <v>104</v>
      </c>
      <c r="C4" s="1"/>
      <c r="D4" s="24"/>
    </row>
    <row r="5" spans="1:6" ht="15.75">
      <c r="B5" s="23" t="s">
        <v>16</v>
      </c>
      <c r="C5" s="1"/>
      <c r="D5" s="24"/>
    </row>
    <row r="6" spans="1:6">
      <c r="D6" s="14"/>
    </row>
    <row r="7" spans="1:6" ht="25.5">
      <c r="A7" t="s">
        <v>28</v>
      </c>
      <c r="B7" s="8">
        <v>211.8</v>
      </c>
      <c r="C7" s="8"/>
      <c r="D7" s="14" t="s">
        <v>126</v>
      </c>
      <c r="E7" s="38" t="s">
        <v>157</v>
      </c>
    </row>
    <row r="8" spans="1:6" ht="25.5">
      <c r="A8" t="s">
        <v>29</v>
      </c>
      <c r="B8" s="8">
        <v>27.1</v>
      </c>
      <c r="C8" s="8"/>
      <c r="D8" s="14" t="s">
        <v>159</v>
      </c>
      <c r="E8" t="s">
        <v>158</v>
      </c>
    </row>
    <row r="9" spans="1:6">
      <c r="A9" t="s">
        <v>30</v>
      </c>
      <c r="B9" s="8">
        <v>212.4</v>
      </c>
      <c r="C9" s="8"/>
      <c r="D9" s="14"/>
      <c r="E9" t="s">
        <v>127</v>
      </c>
    </row>
    <row r="10" spans="1:6">
      <c r="A10" t="s">
        <v>31</v>
      </c>
      <c r="B10" s="9"/>
      <c r="C10" s="9"/>
      <c r="D10" s="14"/>
    </row>
    <row r="11" spans="1:6">
      <c r="A11" t="s">
        <v>111</v>
      </c>
      <c r="B11" s="9">
        <v>4</v>
      </c>
      <c r="C11" s="9"/>
      <c r="D11" s="14"/>
    </row>
    <row r="12" spans="1:6">
      <c r="A12" t="s">
        <v>112</v>
      </c>
      <c r="B12" s="9">
        <v>114.6</v>
      </c>
      <c r="C12" s="9"/>
      <c r="D12" s="14"/>
    </row>
    <row r="13" spans="1:6">
      <c r="A13" t="s">
        <v>113</v>
      </c>
      <c r="B13" s="9">
        <v>41.4</v>
      </c>
      <c r="C13" s="9"/>
      <c r="D13" s="14"/>
    </row>
    <row r="14" spans="1:6">
      <c r="A14" t="s">
        <v>114</v>
      </c>
      <c r="B14" s="9">
        <v>22.8</v>
      </c>
      <c r="C14" s="9"/>
      <c r="D14" s="14"/>
    </row>
    <row r="15" spans="1:6">
      <c r="B15" s="8">
        <f>SUM(B11:B14)</f>
        <v>182.8</v>
      </c>
      <c r="C15" s="8"/>
      <c r="D15" s="14" t="s">
        <v>128</v>
      </c>
      <c r="E15" t="s">
        <v>129</v>
      </c>
    </row>
    <row r="16" spans="1:6">
      <c r="A16" t="s">
        <v>32</v>
      </c>
      <c r="B16" s="8">
        <v>2780.7</v>
      </c>
      <c r="C16" s="8"/>
      <c r="D16" s="14" t="s">
        <v>130</v>
      </c>
      <c r="E16" s="38" t="s">
        <v>131</v>
      </c>
    </row>
    <row r="17" spans="1:5">
      <c r="A17" t="s">
        <v>33</v>
      </c>
      <c r="B17" s="9"/>
      <c r="C17" s="9"/>
      <c r="D17" s="14"/>
    </row>
    <row r="18" spans="1:5" ht="25.5">
      <c r="A18" t="s">
        <v>115</v>
      </c>
      <c r="B18" s="25">
        <f>C18*1.25</f>
        <v>2160.375</v>
      </c>
      <c r="C18" s="9">
        <v>1728.3</v>
      </c>
      <c r="D18" s="14" t="s">
        <v>591</v>
      </c>
    </row>
    <row r="19" spans="1:5">
      <c r="A19" t="s">
        <v>116</v>
      </c>
      <c r="B19" s="181">
        <f>C19</f>
        <v>3025</v>
      </c>
      <c r="C19" s="9">
        <v>3025</v>
      </c>
      <c r="D19" s="175" t="s">
        <v>587</v>
      </c>
    </row>
    <row r="20" spans="1:5">
      <c r="B20" s="174">
        <f>SUM(B18:B19)</f>
        <v>5185.375</v>
      </c>
      <c r="C20" s="8">
        <f>SUM(C18:C19)</f>
        <v>4753.3</v>
      </c>
      <c r="D20" s="175" t="s">
        <v>588</v>
      </c>
      <c r="E20" t="s">
        <v>132</v>
      </c>
    </row>
    <row r="21" spans="1:5">
      <c r="A21" t="s">
        <v>34</v>
      </c>
      <c r="B21" s="9"/>
      <c r="C21" s="9"/>
      <c r="D21" s="14"/>
    </row>
    <row r="22" spans="1:5">
      <c r="A22" t="s">
        <v>133</v>
      </c>
      <c r="B22" s="9">
        <v>281.3</v>
      </c>
      <c r="C22" s="9"/>
      <c r="D22" s="14" t="s">
        <v>134</v>
      </c>
    </row>
    <row r="23" spans="1:5">
      <c r="A23" t="s">
        <v>117</v>
      </c>
      <c r="B23" s="9">
        <v>22.3</v>
      </c>
      <c r="C23" s="9"/>
      <c r="D23" s="14"/>
    </row>
    <row r="24" spans="1:5">
      <c r="B24" s="8">
        <f>SUM(B22:B23)</f>
        <v>303.60000000000002</v>
      </c>
      <c r="C24" s="8"/>
      <c r="D24" s="14" t="s">
        <v>135</v>
      </c>
      <c r="E24" t="s">
        <v>136</v>
      </c>
    </row>
    <row r="25" spans="1:5">
      <c r="A25" t="s">
        <v>48</v>
      </c>
      <c r="B25" s="8"/>
      <c r="C25" s="8"/>
    </row>
    <row r="26" spans="1:5">
      <c r="A26" t="s">
        <v>122</v>
      </c>
      <c r="B26" s="25">
        <v>214.1</v>
      </c>
      <c r="C26" s="8"/>
      <c r="D26" s="14"/>
    </row>
    <row r="27" spans="1:5">
      <c r="A27" t="s">
        <v>123</v>
      </c>
      <c r="B27" s="25">
        <v>21.5</v>
      </c>
      <c r="C27" s="8"/>
      <c r="D27" s="14"/>
    </row>
    <row r="28" spans="1:5">
      <c r="B28" s="8">
        <f>SUM(B26:B27)</f>
        <v>235.6</v>
      </c>
      <c r="C28" s="8"/>
      <c r="D28" s="14" t="s">
        <v>137</v>
      </c>
      <c r="E28" s="38" t="s">
        <v>310</v>
      </c>
    </row>
    <row r="29" spans="1:5">
      <c r="A29" t="s">
        <v>35</v>
      </c>
      <c r="B29" s="9"/>
      <c r="C29" s="9"/>
      <c r="D29" s="14"/>
    </row>
    <row r="30" spans="1:5">
      <c r="A30" t="s">
        <v>124</v>
      </c>
      <c r="B30" s="9">
        <v>163.19999999999999</v>
      </c>
      <c r="C30" s="9"/>
      <c r="D30" s="14"/>
    </row>
    <row r="31" spans="1:5">
      <c r="A31" t="s">
        <v>118</v>
      </c>
      <c r="B31" s="9">
        <v>127.6</v>
      </c>
      <c r="C31" s="9"/>
    </row>
    <row r="32" spans="1:5">
      <c r="A32" t="s">
        <v>125</v>
      </c>
      <c r="B32" s="9">
        <v>69.099999999999994</v>
      </c>
      <c r="C32" s="9"/>
      <c r="D32" s="27"/>
    </row>
    <row r="33" spans="1:5">
      <c r="A33" t="s">
        <v>119</v>
      </c>
      <c r="B33" s="9">
        <v>4.2</v>
      </c>
      <c r="C33" s="9"/>
      <c r="D33" s="14"/>
    </row>
    <row r="34" spans="1:5" ht="25.5">
      <c r="B34" s="8">
        <f>SUM(B30:B33)</f>
        <v>364.09999999999997</v>
      </c>
      <c r="C34" s="8"/>
      <c r="D34" s="14" t="s">
        <v>160</v>
      </c>
      <c r="E34" s="38" t="s">
        <v>138</v>
      </c>
    </row>
    <row r="35" spans="1:5">
      <c r="A35" t="s">
        <v>36</v>
      </c>
      <c r="B35" s="9"/>
      <c r="C35" s="9"/>
      <c r="D35" s="14"/>
    </row>
    <row r="36" spans="1:5">
      <c r="A36" t="s">
        <v>120</v>
      </c>
      <c r="B36" s="9">
        <v>327.3</v>
      </c>
      <c r="C36" s="9"/>
      <c r="D36" s="14"/>
    </row>
    <row r="37" spans="1:5">
      <c r="A37" t="s">
        <v>121</v>
      </c>
      <c r="B37" s="9">
        <v>690.9</v>
      </c>
      <c r="C37" s="9"/>
      <c r="D37" s="14"/>
    </row>
    <row r="38" spans="1:5" ht="38.25">
      <c r="B38" s="8">
        <f>SUM(B36:B37)</f>
        <v>1018.2</v>
      </c>
      <c r="C38" s="8"/>
      <c r="D38" s="14" t="s">
        <v>162</v>
      </c>
      <c r="E38" t="s">
        <v>161</v>
      </c>
    </row>
    <row r="39" spans="1:5" ht="25.5">
      <c r="A39" t="s">
        <v>37</v>
      </c>
      <c r="B39" s="8">
        <v>8.1999999999999993</v>
      </c>
      <c r="C39" s="9"/>
      <c r="D39" s="14" t="s">
        <v>312</v>
      </c>
      <c r="E39" s="38" t="s">
        <v>311</v>
      </c>
    </row>
    <row r="40" spans="1:5">
      <c r="A40" t="s">
        <v>38</v>
      </c>
      <c r="B40" s="128">
        <v>22.1</v>
      </c>
      <c r="C40" s="9" t="s">
        <v>237</v>
      </c>
      <c r="D40" s="124" t="s">
        <v>305</v>
      </c>
      <c r="E40" t="s">
        <v>143</v>
      </c>
    </row>
    <row r="41" spans="1:5">
      <c r="A41" t="s">
        <v>39</v>
      </c>
      <c r="B41" s="128">
        <v>28.1</v>
      </c>
      <c r="C41" s="9" t="s">
        <v>237</v>
      </c>
      <c r="D41" s="124" t="s">
        <v>305</v>
      </c>
      <c r="E41" t="s">
        <v>143</v>
      </c>
    </row>
    <row r="42" spans="1:5" ht="15.75">
      <c r="A42" s="4" t="s">
        <v>55</v>
      </c>
      <c r="B42" s="176">
        <f>B7+B8+B9+B15+B16+B20+B24+B28+B34+B38+B39+B40+B41</f>
        <v>10580.075000000003</v>
      </c>
      <c r="C42" s="8" t="s">
        <v>237</v>
      </c>
      <c r="D42" s="153" t="s">
        <v>589</v>
      </c>
    </row>
    <row r="43" spans="1:5">
      <c r="A43" s="2"/>
      <c r="B43" s="8"/>
      <c r="C43" s="8"/>
      <c r="D43" s="14"/>
    </row>
    <row r="44" spans="1:5" ht="15.75">
      <c r="A44" s="4" t="s">
        <v>62</v>
      </c>
      <c r="B44" s="28">
        <v>763.1</v>
      </c>
      <c r="C44" s="9"/>
      <c r="D44" s="92" t="s">
        <v>276</v>
      </c>
      <c r="E44" t="s">
        <v>139</v>
      </c>
    </row>
    <row r="45" spans="1:5" ht="15.75">
      <c r="B45" s="17"/>
      <c r="C45" s="9"/>
      <c r="D45" s="14"/>
    </row>
    <row r="46" spans="1:5" ht="26.25">
      <c r="A46" s="4" t="s">
        <v>52</v>
      </c>
      <c r="B46" s="17">
        <v>443.9</v>
      </c>
      <c r="D46" s="14" t="s">
        <v>140</v>
      </c>
      <c r="E46" t="s">
        <v>141</v>
      </c>
    </row>
    <row r="48" spans="1:5" ht="15.75">
      <c r="A48" s="4" t="s">
        <v>23</v>
      </c>
      <c r="B48" s="176">
        <f>B42+B44+B46</f>
        <v>11787.075000000003</v>
      </c>
      <c r="D48" s="153" t="s">
        <v>589</v>
      </c>
    </row>
    <row r="50" spans="1:4">
      <c r="A50" s="26"/>
    </row>
    <row r="53" spans="1:4" ht="15">
      <c r="A53" s="18" t="s">
        <v>91</v>
      </c>
      <c r="B53" s="9"/>
      <c r="C53" s="9"/>
    </row>
    <row r="54" spans="1:4">
      <c r="A54" t="s">
        <v>52</v>
      </c>
      <c r="B54" s="9">
        <f>B46</f>
        <v>443.9</v>
      </c>
      <c r="C54" s="9"/>
    </row>
    <row r="55" spans="1:4">
      <c r="A55" t="s">
        <v>56</v>
      </c>
      <c r="B55" s="154">
        <f>B42*0.55</f>
        <v>5819.041250000002</v>
      </c>
      <c r="C55" s="153" t="s">
        <v>592</v>
      </c>
      <c r="D55" s="200" t="s">
        <v>643</v>
      </c>
    </row>
    <row r="56" spans="1:4">
      <c r="B56" s="174">
        <f>SUM(B54:B55)</f>
        <v>6262.9412500000017</v>
      </c>
      <c r="C56" s="153" t="s">
        <v>592</v>
      </c>
    </row>
    <row r="57" spans="1:4">
      <c r="A57" t="s">
        <v>27</v>
      </c>
      <c r="B57" s="9">
        <f>B44*0.55</f>
        <v>419.70500000000004</v>
      </c>
      <c r="D57" s="200" t="s">
        <v>643</v>
      </c>
    </row>
    <row r="58" spans="1:4">
      <c r="B58" s="19"/>
    </row>
    <row r="59" spans="1:4">
      <c r="B59" s="19"/>
    </row>
    <row r="61" spans="1:4">
      <c r="A61" s="3" t="s">
        <v>154</v>
      </c>
      <c r="B61" s="3"/>
      <c r="C61" s="3"/>
      <c r="D61" s="3"/>
    </row>
    <row r="62" spans="1:4">
      <c r="A62" s="3" t="s">
        <v>26</v>
      </c>
      <c r="B62" s="3"/>
      <c r="C62" s="3"/>
      <c r="D62" s="3"/>
    </row>
    <row r="64" spans="1:4">
      <c r="A64" t="s">
        <v>19</v>
      </c>
      <c r="B64" s="9">
        <f>C18*1.25</f>
        <v>2160.375</v>
      </c>
    </row>
    <row r="65" spans="1:5">
      <c r="A65" s="30" t="s">
        <v>20</v>
      </c>
      <c r="B65" s="182">
        <f>C19</f>
        <v>3025</v>
      </c>
      <c r="C65" s="153" t="s">
        <v>592</v>
      </c>
      <c r="D65" s="186">
        <f>B65/B66</f>
        <v>0.58337150157896001</v>
      </c>
    </row>
    <row r="66" spans="1:5">
      <c r="B66" s="183">
        <f>SUM(B64:B65)</f>
        <v>5185.375</v>
      </c>
      <c r="C66" s="153" t="s">
        <v>592</v>
      </c>
      <c r="D66" s="15"/>
    </row>
    <row r="67" spans="1:5">
      <c r="A67" t="s">
        <v>21</v>
      </c>
      <c r="B67" s="9">
        <f>B36</f>
        <v>327.3</v>
      </c>
      <c r="D67" s="15"/>
    </row>
    <row r="68" spans="1:5">
      <c r="A68" s="30" t="s">
        <v>22</v>
      </c>
      <c r="B68" s="31">
        <f>B37</f>
        <v>690.9</v>
      </c>
      <c r="D68" s="15"/>
    </row>
    <row r="69" spans="1:5">
      <c r="B69" s="21">
        <f>SUM(B67:B68)</f>
        <v>1018.2</v>
      </c>
      <c r="C69" s="3"/>
      <c r="D69" s="15">
        <f>B68/B69</f>
        <v>0.67855038302887438</v>
      </c>
    </row>
    <row r="70" spans="1:5">
      <c r="A70" s="30" t="s">
        <v>144</v>
      </c>
      <c r="B70" s="31">
        <v>146.30000000000001</v>
      </c>
      <c r="D70" t="s">
        <v>313</v>
      </c>
      <c r="E70" t="s">
        <v>136</v>
      </c>
    </row>
    <row r="71" spans="1:5">
      <c r="A71" s="30" t="s">
        <v>145</v>
      </c>
      <c r="B71" s="31">
        <f>B23</f>
        <v>22.3</v>
      </c>
    </row>
    <row r="72" spans="1:5">
      <c r="A72" t="s">
        <v>146</v>
      </c>
      <c r="B72" s="21">
        <f>B24</f>
        <v>303.60000000000002</v>
      </c>
      <c r="D72" s="15">
        <f>(B70+B71)/B72</f>
        <v>0.55533596837944665</v>
      </c>
    </row>
    <row r="73" spans="1:5">
      <c r="A73" t="s">
        <v>147</v>
      </c>
      <c r="B73" s="9">
        <v>132.4</v>
      </c>
      <c r="D73" t="s">
        <v>315</v>
      </c>
      <c r="E73" s="38" t="s">
        <v>314</v>
      </c>
    </row>
    <row r="74" spans="1:5">
      <c r="A74" s="30" t="s">
        <v>148</v>
      </c>
      <c r="B74" s="31">
        <v>107.4</v>
      </c>
    </row>
    <row r="75" spans="1:5">
      <c r="B75" s="21">
        <f>SUM(B73:B74)</f>
        <v>239.8</v>
      </c>
      <c r="D75" s="15">
        <f>B74/B75</f>
        <v>0.44787322768974147</v>
      </c>
    </row>
    <row r="76" spans="1:5">
      <c r="D76" t="s">
        <v>149</v>
      </c>
    </row>
    <row r="78" spans="1:5">
      <c r="A78" s="3" t="s">
        <v>163</v>
      </c>
    </row>
    <row r="79" spans="1:5">
      <c r="A79" s="30" t="s">
        <v>32</v>
      </c>
      <c r="B79" s="31">
        <f>B16*D75</f>
        <v>1245.4010842368641</v>
      </c>
      <c r="D79" t="s">
        <v>155</v>
      </c>
    </row>
    <row r="80" spans="1:5">
      <c r="A80" s="30" t="s">
        <v>33</v>
      </c>
      <c r="B80" s="182">
        <f>B65</f>
        <v>3025</v>
      </c>
      <c r="D80" s="153" t="s">
        <v>589</v>
      </c>
    </row>
    <row r="81" spans="1:5">
      <c r="A81" s="30" t="s">
        <v>150</v>
      </c>
      <c r="B81" s="31">
        <f>B70+B71</f>
        <v>168.60000000000002</v>
      </c>
    </row>
    <row r="82" spans="1:5">
      <c r="A82" s="30" t="s">
        <v>36</v>
      </c>
      <c r="B82" s="31">
        <f>B68</f>
        <v>690.9</v>
      </c>
    </row>
    <row r="83" spans="1:5">
      <c r="A83" t="s">
        <v>151</v>
      </c>
      <c r="B83" s="31">
        <f>SUM(B79:B82)</f>
        <v>5129.9010842368643</v>
      </c>
    </row>
    <row r="84" spans="1:5">
      <c r="A84" s="14" t="s">
        <v>152</v>
      </c>
      <c r="B84" s="9">
        <f>B16+B20+B24+B38</f>
        <v>9287.875</v>
      </c>
    </row>
    <row r="85" spans="1:5" ht="18">
      <c r="A85" s="30" t="s">
        <v>153</v>
      </c>
      <c r="B85" s="189">
        <f>B83/B84</f>
        <v>0.55232236482907704</v>
      </c>
      <c r="C85" s="153" t="s">
        <v>592</v>
      </c>
      <c r="D85" s="212" t="s">
        <v>645</v>
      </c>
      <c r="E85" s="213" t="s">
        <v>646</v>
      </c>
    </row>
    <row r="87" spans="1:5">
      <c r="A87" t="s">
        <v>309</v>
      </c>
    </row>
    <row r="89" spans="1:5">
      <c r="A89" s="153" t="s">
        <v>599</v>
      </c>
      <c r="B89" s="153"/>
      <c r="C89" s="153"/>
      <c r="D89" s="153"/>
    </row>
    <row r="90" spans="1:5">
      <c r="A90" s="211" t="s">
        <v>671</v>
      </c>
      <c r="B90" s="153"/>
      <c r="C90" s="153"/>
      <c r="D90" s="153"/>
    </row>
  </sheetData>
  <hyperlinks>
    <hyperlink ref="E7" r:id="rId1"/>
    <hyperlink ref="E28" r:id="rId2"/>
    <hyperlink ref="E39" r:id="rId3"/>
    <hyperlink ref="E73" r:id="rId4"/>
    <hyperlink ref="E16" r:id="rId5"/>
    <hyperlink ref="E34" r:id="rId6"/>
  </hyperlinks>
  <pageMargins left="0.70866141732283472" right="0.70866141732283472" top="0.74803149606299213" bottom="0.74803149606299213" header="0.31496062992125984" footer="0.31496062992125984"/>
  <pageSetup scale="70" fitToHeight="2" orientation="landscape" verticalDpi="0" r:id="rId7"/>
</worksheet>
</file>

<file path=xl/worksheets/sheet27.xml><?xml version="1.0" encoding="utf-8"?>
<worksheet xmlns="http://schemas.openxmlformats.org/spreadsheetml/2006/main" xmlns:r="http://schemas.openxmlformats.org/officeDocument/2006/relationships">
  <dimension ref="A1:E79"/>
  <sheetViews>
    <sheetView topLeftCell="A16" workbookViewId="0">
      <selection activeCell="B52" sqref="B52"/>
    </sheetView>
  </sheetViews>
  <sheetFormatPr defaultRowHeight="12.75"/>
  <cols>
    <col min="1" max="1" width="35.7109375" style="75" customWidth="1"/>
    <col min="2" max="3" width="12.7109375" style="75" customWidth="1"/>
    <col min="4" max="4" width="85.7109375" style="75" customWidth="1"/>
    <col min="5" max="5" width="50.7109375" style="75" customWidth="1"/>
    <col min="6" max="256" width="9.140625" style="75"/>
    <col min="257" max="257" width="35.7109375" style="75" customWidth="1"/>
    <col min="258" max="259" width="12.7109375" style="75" customWidth="1"/>
    <col min="260" max="260" width="85.7109375" style="75" customWidth="1"/>
    <col min="261" max="261" width="50.7109375" style="75" customWidth="1"/>
    <col min="262" max="512" width="9.140625" style="75"/>
    <col min="513" max="513" width="35.7109375" style="75" customWidth="1"/>
    <col min="514" max="515" width="12.7109375" style="75" customWidth="1"/>
    <col min="516" max="516" width="85.7109375" style="75" customWidth="1"/>
    <col min="517" max="517" width="50.7109375" style="75" customWidth="1"/>
    <col min="518" max="768" width="9.140625" style="75"/>
    <col min="769" max="769" width="35.7109375" style="75" customWidth="1"/>
    <col min="770" max="771" width="12.7109375" style="75" customWidth="1"/>
    <col min="772" max="772" width="85.7109375" style="75" customWidth="1"/>
    <col min="773" max="773" width="50.7109375" style="75" customWidth="1"/>
    <col min="774" max="1024" width="9.140625" style="75"/>
    <col min="1025" max="1025" width="35.7109375" style="75" customWidth="1"/>
    <col min="1026" max="1027" width="12.7109375" style="75" customWidth="1"/>
    <col min="1028" max="1028" width="85.7109375" style="75" customWidth="1"/>
    <col min="1029" max="1029" width="50.7109375" style="75" customWidth="1"/>
    <col min="1030" max="1280" width="9.140625" style="75"/>
    <col min="1281" max="1281" width="35.7109375" style="75" customWidth="1"/>
    <col min="1282" max="1283" width="12.7109375" style="75" customWidth="1"/>
    <col min="1284" max="1284" width="85.7109375" style="75" customWidth="1"/>
    <col min="1285" max="1285" width="50.7109375" style="75" customWidth="1"/>
    <col min="1286" max="1536" width="9.140625" style="75"/>
    <col min="1537" max="1537" width="35.7109375" style="75" customWidth="1"/>
    <col min="1538" max="1539" width="12.7109375" style="75" customWidth="1"/>
    <col min="1540" max="1540" width="85.7109375" style="75" customWidth="1"/>
    <col min="1541" max="1541" width="50.7109375" style="75" customWidth="1"/>
    <col min="1542" max="1792" width="9.140625" style="75"/>
    <col min="1793" max="1793" width="35.7109375" style="75" customWidth="1"/>
    <col min="1794" max="1795" width="12.7109375" style="75" customWidth="1"/>
    <col min="1796" max="1796" width="85.7109375" style="75" customWidth="1"/>
    <col min="1797" max="1797" width="50.7109375" style="75" customWidth="1"/>
    <col min="1798" max="2048" width="9.140625" style="75"/>
    <col min="2049" max="2049" width="35.7109375" style="75" customWidth="1"/>
    <col min="2050" max="2051" width="12.7109375" style="75" customWidth="1"/>
    <col min="2052" max="2052" width="85.7109375" style="75" customWidth="1"/>
    <col min="2053" max="2053" width="50.7109375" style="75" customWidth="1"/>
    <col min="2054" max="2304" width="9.140625" style="75"/>
    <col min="2305" max="2305" width="35.7109375" style="75" customWidth="1"/>
    <col min="2306" max="2307" width="12.7109375" style="75" customWidth="1"/>
    <col min="2308" max="2308" width="85.7109375" style="75" customWidth="1"/>
    <col min="2309" max="2309" width="50.7109375" style="75" customWidth="1"/>
    <col min="2310" max="2560" width="9.140625" style="75"/>
    <col min="2561" max="2561" width="35.7109375" style="75" customWidth="1"/>
    <col min="2562" max="2563" width="12.7109375" style="75" customWidth="1"/>
    <col min="2564" max="2564" width="85.7109375" style="75" customWidth="1"/>
    <col min="2565" max="2565" width="50.7109375" style="75" customWidth="1"/>
    <col min="2566" max="2816" width="9.140625" style="75"/>
    <col min="2817" max="2817" width="35.7109375" style="75" customWidth="1"/>
    <col min="2818" max="2819" width="12.7109375" style="75" customWidth="1"/>
    <col min="2820" max="2820" width="85.7109375" style="75" customWidth="1"/>
    <col min="2821" max="2821" width="50.7109375" style="75" customWidth="1"/>
    <col min="2822" max="3072" width="9.140625" style="75"/>
    <col min="3073" max="3073" width="35.7109375" style="75" customWidth="1"/>
    <col min="3074" max="3075" width="12.7109375" style="75" customWidth="1"/>
    <col min="3076" max="3076" width="85.7109375" style="75" customWidth="1"/>
    <col min="3077" max="3077" width="50.7109375" style="75" customWidth="1"/>
    <col min="3078" max="3328" width="9.140625" style="75"/>
    <col min="3329" max="3329" width="35.7109375" style="75" customWidth="1"/>
    <col min="3330" max="3331" width="12.7109375" style="75" customWidth="1"/>
    <col min="3332" max="3332" width="85.7109375" style="75" customWidth="1"/>
    <col min="3333" max="3333" width="50.7109375" style="75" customWidth="1"/>
    <col min="3334" max="3584" width="9.140625" style="75"/>
    <col min="3585" max="3585" width="35.7109375" style="75" customWidth="1"/>
    <col min="3586" max="3587" width="12.7109375" style="75" customWidth="1"/>
    <col min="3588" max="3588" width="85.7109375" style="75" customWidth="1"/>
    <col min="3589" max="3589" width="50.7109375" style="75" customWidth="1"/>
    <col min="3590" max="3840" width="9.140625" style="75"/>
    <col min="3841" max="3841" width="35.7109375" style="75" customWidth="1"/>
    <col min="3842" max="3843" width="12.7109375" style="75" customWidth="1"/>
    <col min="3844" max="3844" width="85.7109375" style="75" customWidth="1"/>
    <col min="3845" max="3845" width="50.7109375" style="75" customWidth="1"/>
    <col min="3846" max="4096" width="9.140625" style="75"/>
    <col min="4097" max="4097" width="35.7109375" style="75" customWidth="1"/>
    <col min="4098" max="4099" width="12.7109375" style="75" customWidth="1"/>
    <col min="4100" max="4100" width="85.7109375" style="75" customWidth="1"/>
    <col min="4101" max="4101" width="50.7109375" style="75" customWidth="1"/>
    <col min="4102" max="4352" width="9.140625" style="75"/>
    <col min="4353" max="4353" width="35.7109375" style="75" customWidth="1"/>
    <col min="4354" max="4355" width="12.7109375" style="75" customWidth="1"/>
    <col min="4356" max="4356" width="85.7109375" style="75" customWidth="1"/>
    <col min="4357" max="4357" width="50.7109375" style="75" customWidth="1"/>
    <col min="4358" max="4608" width="9.140625" style="75"/>
    <col min="4609" max="4609" width="35.7109375" style="75" customWidth="1"/>
    <col min="4610" max="4611" width="12.7109375" style="75" customWidth="1"/>
    <col min="4612" max="4612" width="85.7109375" style="75" customWidth="1"/>
    <col min="4613" max="4613" width="50.7109375" style="75" customWidth="1"/>
    <col min="4614" max="4864" width="9.140625" style="75"/>
    <col min="4865" max="4865" width="35.7109375" style="75" customWidth="1"/>
    <col min="4866" max="4867" width="12.7109375" style="75" customWidth="1"/>
    <col min="4868" max="4868" width="85.7109375" style="75" customWidth="1"/>
    <col min="4869" max="4869" width="50.7109375" style="75" customWidth="1"/>
    <col min="4870" max="5120" width="9.140625" style="75"/>
    <col min="5121" max="5121" width="35.7109375" style="75" customWidth="1"/>
    <col min="5122" max="5123" width="12.7109375" style="75" customWidth="1"/>
    <col min="5124" max="5124" width="85.7109375" style="75" customWidth="1"/>
    <col min="5125" max="5125" width="50.7109375" style="75" customWidth="1"/>
    <col min="5126" max="5376" width="9.140625" style="75"/>
    <col min="5377" max="5377" width="35.7109375" style="75" customWidth="1"/>
    <col min="5378" max="5379" width="12.7109375" style="75" customWidth="1"/>
    <col min="5380" max="5380" width="85.7109375" style="75" customWidth="1"/>
    <col min="5381" max="5381" width="50.7109375" style="75" customWidth="1"/>
    <col min="5382" max="5632" width="9.140625" style="75"/>
    <col min="5633" max="5633" width="35.7109375" style="75" customWidth="1"/>
    <col min="5634" max="5635" width="12.7109375" style="75" customWidth="1"/>
    <col min="5636" max="5636" width="85.7109375" style="75" customWidth="1"/>
    <col min="5637" max="5637" width="50.7109375" style="75" customWidth="1"/>
    <col min="5638" max="5888" width="9.140625" style="75"/>
    <col min="5889" max="5889" width="35.7109375" style="75" customWidth="1"/>
    <col min="5890" max="5891" width="12.7109375" style="75" customWidth="1"/>
    <col min="5892" max="5892" width="85.7109375" style="75" customWidth="1"/>
    <col min="5893" max="5893" width="50.7109375" style="75" customWidth="1"/>
    <col min="5894" max="6144" width="9.140625" style="75"/>
    <col min="6145" max="6145" width="35.7109375" style="75" customWidth="1"/>
    <col min="6146" max="6147" width="12.7109375" style="75" customWidth="1"/>
    <col min="6148" max="6148" width="85.7109375" style="75" customWidth="1"/>
    <col min="6149" max="6149" width="50.7109375" style="75" customWidth="1"/>
    <col min="6150" max="6400" width="9.140625" style="75"/>
    <col min="6401" max="6401" width="35.7109375" style="75" customWidth="1"/>
    <col min="6402" max="6403" width="12.7109375" style="75" customWidth="1"/>
    <col min="6404" max="6404" width="85.7109375" style="75" customWidth="1"/>
    <col min="6405" max="6405" width="50.7109375" style="75" customWidth="1"/>
    <col min="6406" max="6656" width="9.140625" style="75"/>
    <col min="6657" max="6657" width="35.7109375" style="75" customWidth="1"/>
    <col min="6658" max="6659" width="12.7109375" style="75" customWidth="1"/>
    <col min="6660" max="6660" width="85.7109375" style="75" customWidth="1"/>
    <col min="6661" max="6661" width="50.7109375" style="75" customWidth="1"/>
    <col min="6662" max="6912" width="9.140625" style="75"/>
    <col min="6913" max="6913" width="35.7109375" style="75" customWidth="1"/>
    <col min="6914" max="6915" width="12.7109375" style="75" customWidth="1"/>
    <col min="6916" max="6916" width="85.7109375" style="75" customWidth="1"/>
    <col min="6917" max="6917" width="50.7109375" style="75" customWidth="1"/>
    <col min="6918" max="7168" width="9.140625" style="75"/>
    <col min="7169" max="7169" width="35.7109375" style="75" customWidth="1"/>
    <col min="7170" max="7171" width="12.7109375" style="75" customWidth="1"/>
    <col min="7172" max="7172" width="85.7109375" style="75" customWidth="1"/>
    <col min="7173" max="7173" width="50.7109375" style="75" customWidth="1"/>
    <col min="7174" max="7424" width="9.140625" style="75"/>
    <col min="7425" max="7425" width="35.7109375" style="75" customWidth="1"/>
    <col min="7426" max="7427" width="12.7109375" style="75" customWidth="1"/>
    <col min="7428" max="7428" width="85.7109375" style="75" customWidth="1"/>
    <col min="7429" max="7429" width="50.7109375" style="75" customWidth="1"/>
    <col min="7430" max="7680" width="9.140625" style="75"/>
    <col min="7681" max="7681" width="35.7109375" style="75" customWidth="1"/>
    <col min="7682" max="7683" width="12.7109375" style="75" customWidth="1"/>
    <col min="7684" max="7684" width="85.7109375" style="75" customWidth="1"/>
    <col min="7685" max="7685" width="50.7109375" style="75" customWidth="1"/>
    <col min="7686" max="7936" width="9.140625" style="75"/>
    <col min="7937" max="7937" width="35.7109375" style="75" customWidth="1"/>
    <col min="7938" max="7939" width="12.7109375" style="75" customWidth="1"/>
    <col min="7940" max="7940" width="85.7109375" style="75" customWidth="1"/>
    <col min="7941" max="7941" width="50.7109375" style="75" customWidth="1"/>
    <col min="7942" max="8192" width="9.140625" style="75"/>
    <col min="8193" max="8193" width="35.7109375" style="75" customWidth="1"/>
    <col min="8194" max="8195" width="12.7109375" style="75" customWidth="1"/>
    <col min="8196" max="8196" width="85.7109375" style="75" customWidth="1"/>
    <col min="8197" max="8197" width="50.7109375" style="75" customWidth="1"/>
    <col min="8198" max="8448" width="9.140625" style="75"/>
    <col min="8449" max="8449" width="35.7109375" style="75" customWidth="1"/>
    <col min="8450" max="8451" width="12.7109375" style="75" customWidth="1"/>
    <col min="8452" max="8452" width="85.7109375" style="75" customWidth="1"/>
    <col min="8453" max="8453" width="50.7109375" style="75" customWidth="1"/>
    <col min="8454" max="8704" width="9.140625" style="75"/>
    <col min="8705" max="8705" width="35.7109375" style="75" customWidth="1"/>
    <col min="8706" max="8707" width="12.7109375" style="75" customWidth="1"/>
    <col min="8708" max="8708" width="85.7109375" style="75" customWidth="1"/>
    <col min="8709" max="8709" width="50.7109375" style="75" customWidth="1"/>
    <col min="8710" max="8960" width="9.140625" style="75"/>
    <col min="8961" max="8961" width="35.7109375" style="75" customWidth="1"/>
    <col min="8962" max="8963" width="12.7109375" style="75" customWidth="1"/>
    <col min="8964" max="8964" width="85.7109375" style="75" customWidth="1"/>
    <col min="8965" max="8965" width="50.7109375" style="75" customWidth="1"/>
    <col min="8966" max="9216" width="9.140625" style="75"/>
    <col min="9217" max="9217" width="35.7109375" style="75" customWidth="1"/>
    <col min="9218" max="9219" width="12.7109375" style="75" customWidth="1"/>
    <col min="9220" max="9220" width="85.7109375" style="75" customWidth="1"/>
    <col min="9221" max="9221" width="50.7109375" style="75" customWidth="1"/>
    <col min="9222" max="9472" width="9.140625" style="75"/>
    <col min="9473" max="9473" width="35.7109375" style="75" customWidth="1"/>
    <col min="9474" max="9475" width="12.7109375" style="75" customWidth="1"/>
    <col min="9476" max="9476" width="85.7109375" style="75" customWidth="1"/>
    <col min="9477" max="9477" width="50.7109375" style="75" customWidth="1"/>
    <col min="9478" max="9728" width="9.140625" style="75"/>
    <col min="9729" max="9729" width="35.7109375" style="75" customWidth="1"/>
    <col min="9730" max="9731" width="12.7109375" style="75" customWidth="1"/>
    <col min="9732" max="9732" width="85.7109375" style="75" customWidth="1"/>
    <col min="9733" max="9733" width="50.7109375" style="75" customWidth="1"/>
    <col min="9734" max="9984" width="9.140625" style="75"/>
    <col min="9985" max="9985" width="35.7109375" style="75" customWidth="1"/>
    <col min="9986" max="9987" width="12.7109375" style="75" customWidth="1"/>
    <col min="9988" max="9988" width="85.7109375" style="75" customWidth="1"/>
    <col min="9989" max="9989" width="50.7109375" style="75" customWidth="1"/>
    <col min="9990" max="10240" width="9.140625" style="75"/>
    <col min="10241" max="10241" width="35.7109375" style="75" customWidth="1"/>
    <col min="10242" max="10243" width="12.7109375" style="75" customWidth="1"/>
    <col min="10244" max="10244" width="85.7109375" style="75" customWidth="1"/>
    <col min="10245" max="10245" width="50.7109375" style="75" customWidth="1"/>
    <col min="10246" max="10496" width="9.140625" style="75"/>
    <col min="10497" max="10497" width="35.7109375" style="75" customWidth="1"/>
    <col min="10498" max="10499" width="12.7109375" style="75" customWidth="1"/>
    <col min="10500" max="10500" width="85.7109375" style="75" customWidth="1"/>
    <col min="10501" max="10501" width="50.7109375" style="75" customWidth="1"/>
    <col min="10502" max="10752" width="9.140625" style="75"/>
    <col min="10753" max="10753" width="35.7109375" style="75" customWidth="1"/>
    <col min="10754" max="10755" width="12.7109375" style="75" customWidth="1"/>
    <col min="10756" max="10756" width="85.7109375" style="75" customWidth="1"/>
    <col min="10757" max="10757" width="50.7109375" style="75" customWidth="1"/>
    <col min="10758" max="11008" width="9.140625" style="75"/>
    <col min="11009" max="11009" width="35.7109375" style="75" customWidth="1"/>
    <col min="11010" max="11011" width="12.7109375" style="75" customWidth="1"/>
    <col min="11012" max="11012" width="85.7109375" style="75" customWidth="1"/>
    <col min="11013" max="11013" width="50.7109375" style="75" customWidth="1"/>
    <col min="11014" max="11264" width="9.140625" style="75"/>
    <col min="11265" max="11265" width="35.7109375" style="75" customWidth="1"/>
    <col min="11266" max="11267" width="12.7109375" style="75" customWidth="1"/>
    <col min="11268" max="11268" width="85.7109375" style="75" customWidth="1"/>
    <col min="11269" max="11269" width="50.7109375" style="75" customWidth="1"/>
    <col min="11270" max="11520" width="9.140625" style="75"/>
    <col min="11521" max="11521" width="35.7109375" style="75" customWidth="1"/>
    <col min="11522" max="11523" width="12.7109375" style="75" customWidth="1"/>
    <col min="11524" max="11524" width="85.7109375" style="75" customWidth="1"/>
    <col min="11525" max="11525" width="50.7109375" style="75" customWidth="1"/>
    <col min="11526" max="11776" width="9.140625" style="75"/>
    <col min="11777" max="11777" width="35.7109375" style="75" customWidth="1"/>
    <col min="11778" max="11779" width="12.7109375" style="75" customWidth="1"/>
    <col min="11780" max="11780" width="85.7109375" style="75" customWidth="1"/>
    <col min="11781" max="11781" width="50.7109375" style="75" customWidth="1"/>
    <col min="11782" max="12032" width="9.140625" style="75"/>
    <col min="12033" max="12033" width="35.7109375" style="75" customWidth="1"/>
    <col min="12034" max="12035" width="12.7109375" style="75" customWidth="1"/>
    <col min="12036" max="12036" width="85.7109375" style="75" customWidth="1"/>
    <col min="12037" max="12037" width="50.7109375" style="75" customWidth="1"/>
    <col min="12038" max="12288" width="9.140625" style="75"/>
    <col min="12289" max="12289" width="35.7109375" style="75" customWidth="1"/>
    <col min="12290" max="12291" width="12.7109375" style="75" customWidth="1"/>
    <col min="12292" max="12292" width="85.7109375" style="75" customWidth="1"/>
    <col min="12293" max="12293" width="50.7109375" style="75" customWidth="1"/>
    <col min="12294" max="12544" width="9.140625" style="75"/>
    <col min="12545" max="12545" width="35.7109375" style="75" customWidth="1"/>
    <col min="12546" max="12547" width="12.7109375" style="75" customWidth="1"/>
    <col min="12548" max="12548" width="85.7109375" style="75" customWidth="1"/>
    <col min="12549" max="12549" width="50.7109375" style="75" customWidth="1"/>
    <col min="12550" max="12800" width="9.140625" style="75"/>
    <col min="12801" max="12801" width="35.7109375" style="75" customWidth="1"/>
    <col min="12802" max="12803" width="12.7109375" style="75" customWidth="1"/>
    <col min="12804" max="12804" width="85.7109375" style="75" customWidth="1"/>
    <col min="12805" max="12805" width="50.7109375" style="75" customWidth="1"/>
    <col min="12806" max="13056" width="9.140625" style="75"/>
    <col min="13057" max="13057" width="35.7109375" style="75" customWidth="1"/>
    <col min="13058" max="13059" width="12.7109375" style="75" customWidth="1"/>
    <col min="13060" max="13060" width="85.7109375" style="75" customWidth="1"/>
    <col min="13061" max="13061" width="50.7109375" style="75" customWidth="1"/>
    <col min="13062" max="13312" width="9.140625" style="75"/>
    <col min="13313" max="13313" width="35.7109375" style="75" customWidth="1"/>
    <col min="13314" max="13315" width="12.7109375" style="75" customWidth="1"/>
    <col min="13316" max="13316" width="85.7109375" style="75" customWidth="1"/>
    <col min="13317" max="13317" width="50.7109375" style="75" customWidth="1"/>
    <col min="13318" max="13568" width="9.140625" style="75"/>
    <col min="13569" max="13569" width="35.7109375" style="75" customWidth="1"/>
    <col min="13570" max="13571" width="12.7109375" style="75" customWidth="1"/>
    <col min="13572" max="13572" width="85.7109375" style="75" customWidth="1"/>
    <col min="13573" max="13573" width="50.7109375" style="75" customWidth="1"/>
    <col min="13574" max="13824" width="9.140625" style="75"/>
    <col min="13825" max="13825" width="35.7109375" style="75" customWidth="1"/>
    <col min="13826" max="13827" width="12.7109375" style="75" customWidth="1"/>
    <col min="13828" max="13828" width="85.7109375" style="75" customWidth="1"/>
    <col min="13829" max="13829" width="50.7109375" style="75" customWidth="1"/>
    <col min="13830" max="14080" width="9.140625" style="75"/>
    <col min="14081" max="14081" width="35.7109375" style="75" customWidth="1"/>
    <col min="14082" max="14083" width="12.7109375" style="75" customWidth="1"/>
    <col min="14084" max="14084" width="85.7109375" style="75" customWidth="1"/>
    <col min="14085" max="14085" width="50.7109375" style="75" customWidth="1"/>
    <col min="14086" max="14336" width="9.140625" style="75"/>
    <col min="14337" max="14337" width="35.7109375" style="75" customWidth="1"/>
    <col min="14338" max="14339" width="12.7109375" style="75" customWidth="1"/>
    <col min="14340" max="14340" width="85.7109375" style="75" customWidth="1"/>
    <col min="14341" max="14341" width="50.7109375" style="75" customWidth="1"/>
    <col min="14342" max="14592" width="9.140625" style="75"/>
    <col min="14593" max="14593" width="35.7109375" style="75" customWidth="1"/>
    <col min="14594" max="14595" width="12.7109375" style="75" customWidth="1"/>
    <col min="14596" max="14596" width="85.7109375" style="75" customWidth="1"/>
    <col min="14597" max="14597" width="50.7109375" style="75" customWidth="1"/>
    <col min="14598" max="14848" width="9.140625" style="75"/>
    <col min="14849" max="14849" width="35.7109375" style="75" customWidth="1"/>
    <col min="14850" max="14851" width="12.7109375" style="75" customWidth="1"/>
    <col min="14852" max="14852" width="85.7109375" style="75" customWidth="1"/>
    <col min="14853" max="14853" width="50.7109375" style="75" customWidth="1"/>
    <col min="14854" max="15104" width="9.140625" style="75"/>
    <col min="15105" max="15105" width="35.7109375" style="75" customWidth="1"/>
    <col min="15106" max="15107" width="12.7109375" style="75" customWidth="1"/>
    <col min="15108" max="15108" width="85.7109375" style="75" customWidth="1"/>
    <col min="15109" max="15109" width="50.7109375" style="75" customWidth="1"/>
    <col min="15110" max="15360" width="9.140625" style="75"/>
    <col min="15361" max="15361" width="35.7109375" style="75" customWidth="1"/>
    <col min="15362" max="15363" width="12.7109375" style="75" customWidth="1"/>
    <col min="15364" max="15364" width="85.7109375" style="75" customWidth="1"/>
    <col min="15365" max="15365" width="50.7109375" style="75" customWidth="1"/>
    <col min="15366" max="15616" width="9.140625" style="75"/>
    <col min="15617" max="15617" width="35.7109375" style="75" customWidth="1"/>
    <col min="15618" max="15619" width="12.7109375" style="75" customWidth="1"/>
    <col min="15620" max="15620" width="85.7109375" style="75" customWidth="1"/>
    <col min="15621" max="15621" width="50.7109375" style="75" customWidth="1"/>
    <col min="15622" max="15872" width="9.140625" style="75"/>
    <col min="15873" max="15873" width="35.7109375" style="75" customWidth="1"/>
    <col min="15874" max="15875" width="12.7109375" style="75" customWidth="1"/>
    <col min="15876" max="15876" width="85.7109375" style="75" customWidth="1"/>
    <col min="15877" max="15877" width="50.7109375" style="75" customWidth="1"/>
    <col min="15878" max="16128" width="9.140625" style="75"/>
    <col min="16129" max="16129" width="35.7109375" style="75" customWidth="1"/>
    <col min="16130" max="16131" width="12.7109375" style="75" customWidth="1"/>
    <col min="16132" max="16132" width="85.7109375" style="75" customWidth="1"/>
    <col min="16133" max="16133" width="50.7109375" style="75" customWidth="1"/>
    <col min="16134" max="16384" width="9.140625" style="75"/>
  </cols>
  <sheetData>
    <row r="1" spans="1:5" ht="15.75">
      <c r="B1" s="23" t="s">
        <v>58</v>
      </c>
      <c r="C1" s="1"/>
      <c r="D1" s="1"/>
    </row>
    <row r="2" spans="1:5" ht="15.75">
      <c r="B2" s="23" t="s">
        <v>16</v>
      </c>
      <c r="C2" s="1"/>
      <c r="D2" s="1"/>
    </row>
    <row r="4" spans="1:5" ht="25.5">
      <c r="A4" s="75" t="s">
        <v>28</v>
      </c>
      <c r="B4" s="76">
        <v>209.8</v>
      </c>
      <c r="C4" s="76"/>
      <c r="D4" s="14" t="s">
        <v>246</v>
      </c>
      <c r="E4" s="75" t="s">
        <v>267</v>
      </c>
    </row>
    <row r="5" spans="1:5" ht="25.5">
      <c r="A5" s="75" t="s">
        <v>29</v>
      </c>
      <c r="B5" s="76">
        <v>27.1</v>
      </c>
      <c r="C5" s="76"/>
      <c r="D5" s="14" t="s">
        <v>247</v>
      </c>
      <c r="E5" s="38" t="s">
        <v>248</v>
      </c>
    </row>
    <row r="6" spans="1:5" ht="25.5">
      <c r="A6" s="75" t="s">
        <v>30</v>
      </c>
      <c r="B6" s="76">
        <v>217.2</v>
      </c>
      <c r="C6" s="76"/>
      <c r="D6" s="14" t="s">
        <v>249</v>
      </c>
      <c r="E6" s="38" t="s">
        <v>306</v>
      </c>
    </row>
    <row r="7" spans="1:5">
      <c r="A7" s="75" t="s">
        <v>31</v>
      </c>
      <c r="B7" s="77"/>
      <c r="C7" s="77"/>
      <c r="D7" s="14"/>
    </row>
    <row r="8" spans="1:5">
      <c r="A8" s="75" t="s">
        <v>111</v>
      </c>
      <c r="B8" s="77">
        <v>4.7</v>
      </c>
      <c r="C8" s="77"/>
      <c r="D8" s="14"/>
    </row>
    <row r="9" spans="1:5">
      <c r="A9" s="75" t="s">
        <v>112</v>
      </c>
      <c r="B9" s="77">
        <v>122.7</v>
      </c>
      <c r="C9" s="77"/>
      <c r="D9" s="14"/>
    </row>
    <row r="10" spans="1:5">
      <c r="A10" s="75" t="s">
        <v>113</v>
      </c>
      <c r="B10" s="77">
        <v>37.799999999999997</v>
      </c>
      <c r="C10" s="77"/>
      <c r="D10" s="14"/>
    </row>
    <row r="11" spans="1:5">
      <c r="A11" s="75" t="s">
        <v>114</v>
      </c>
      <c r="B11" s="77">
        <v>21</v>
      </c>
      <c r="C11" s="77"/>
      <c r="D11" s="14"/>
    </row>
    <row r="12" spans="1:5">
      <c r="B12" s="76">
        <f>SUM(B8:B11)</f>
        <v>186.2</v>
      </c>
      <c r="C12" s="76"/>
      <c r="D12" s="14" t="s">
        <v>250</v>
      </c>
      <c r="E12" s="75" t="s">
        <v>251</v>
      </c>
    </row>
    <row r="13" spans="1:5">
      <c r="A13" s="75" t="s">
        <v>32</v>
      </c>
      <c r="B13" s="76">
        <v>2682.4</v>
      </c>
      <c r="C13" s="76"/>
      <c r="D13" s="14" t="s">
        <v>252</v>
      </c>
      <c r="E13" s="75" t="s">
        <v>253</v>
      </c>
    </row>
    <row r="14" spans="1:5">
      <c r="A14" s="75" t="s">
        <v>33</v>
      </c>
      <c r="B14" s="77"/>
      <c r="C14" s="77"/>
      <c r="D14" s="14"/>
    </row>
    <row r="15" spans="1:5" ht="25.5">
      <c r="A15" s="75" t="s">
        <v>115</v>
      </c>
      <c r="B15" s="77">
        <f>C15*1.25</f>
        <v>1999.5</v>
      </c>
      <c r="C15" s="77">
        <v>1599.6</v>
      </c>
      <c r="D15" s="14" t="s">
        <v>590</v>
      </c>
    </row>
    <row r="16" spans="1:5">
      <c r="A16" s="75" t="s">
        <v>116</v>
      </c>
      <c r="B16" s="177">
        <f>C16</f>
        <v>2432.5</v>
      </c>
      <c r="C16" s="77">
        <v>2432.5</v>
      </c>
      <c r="D16" s="175" t="s">
        <v>587</v>
      </c>
    </row>
    <row r="17" spans="1:5">
      <c r="B17" s="178">
        <f>SUM(B15:B16)</f>
        <v>4432</v>
      </c>
      <c r="C17" s="76">
        <f>SUM(C15:C16)</f>
        <v>4032.1</v>
      </c>
      <c r="D17" s="175" t="s">
        <v>588</v>
      </c>
      <c r="E17" s="75" t="s">
        <v>254</v>
      </c>
    </row>
    <row r="18" spans="1:5">
      <c r="A18" s="75" t="s">
        <v>34</v>
      </c>
      <c r="B18" s="77"/>
      <c r="C18" s="77"/>
      <c r="D18" s="14"/>
    </row>
    <row r="19" spans="1:5">
      <c r="A19" s="75" t="s">
        <v>255</v>
      </c>
      <c r="B19" s="77">
        <v>143</v>
      </c>
      <c r="C19" s="77"/>
      <c r="D19" s="14"/>
    </row>
    <row r="20" spans="1:5">
      <c r="A20" s="75" t="s">
        <v>256</v>
      </c>
      <c r="B20" s="77">
        <v>139.4</v>
      </c>
      <c r="C20" s="77"/>
      <c r="D20" s="14"/>
    </row>
    <row r="21" spans="1:5">
      <c r="A21" s="75" t="s">
        <v>117</v>
      </c>
      <c r="B21" s="77">
        <v>16.5</v>
      </c>
      <c r="C21" s="77"/>
      <c r="D21" s="14"/>
    </row>
    <row r="22" spans="1:5">
      <c r="B22" s="76">
        <f>SUM(B19:B21)</f>
        <v>298.89999999999998</v>
      </c>
      <c r="C22" s="76"/>
      <c r="D22" s="14" t="s">
        <v>257</v>
      </c>
      <c r="E22" s="75" t="s">
        <v>258</v>
      </c>
    </row>
    <row r="23" spans="1:5">
      <c r="A23" s="75" t="s">
        <v>48</v>
      </c>
      <c r="B23" s="76"/>
      <c r="C23" s="76"/>
    </row>
    <row r="24" spans="1:5">
      <c r="A24" s="75" t="s">
        <v>122</v>
      </c>
      <c r="B24" s="78">
        <v>200.7</v>
      </c>
      <c r="C24" s="76"/>
      <c r="D24" s="14"/>
    </row>
    <row r="25" spans="1:5">
      <c r="A25" s="75" t="s">
        <v>123</v>
      </c>
      <c r="B25" s="78">
        <v>33.700000000000003</v>
      </c>
      <c r="C25" s="76"/>
      <c r="D25" s="14"/>
    </row>
    <row r="26" spans="1:5">
      <c r="B26" s="76">
        <f>SUM(B24:B25)</f>
        <v>234.39999999999998</v>
      </c>
      <c r="C26" s="76"/>
      <c r="D26" s="14" t="s">
        <v>259</v>
      </c>
      <c r="E26" s="38" t="s">
        <v>260</v>
      </c>
    </row>
    <row r="27" spans="1:5">
      <c r="A27" s="75" t="s">
        <v>35</v>
      </c>
      <c r="B27" s="77"/>
      <c r="C27" s="77"/>
      <c r="D27" s="14"/>
    </row>
    <row r="28" spans="1:5">
      <c r="A28" s="75" t="s">
        <v>124</v>
      </c>
      <c r="B28" s="77">
        <v>131.80000000000001</v>
      </c>
      <c r="C28" s="77"/>
      <c r="D28" s="14"/>
    </row>
    <row r="29" spans="1:5">
      <c r="A29" s="75" t="s">
        <v>125</v>
      </c>
      <c r="B29" s="77">
        <v>51</v>
      </c>
      <c r="C29" s="77"/>
      <c r="D29" s="14"/>
    </row>
    <row r="30" spans="1:5">
      <c r="A30" s="75" t="s">
        <v>118</v>
      </c>
      <c r="B30" s="77">
        <v>112</v>
      </c>
      <c r="C30" s="77"/>
      <c r="D30" s="14"/>
    </row>
    <row r="31" spans="1:5">
      <c r="A31" s="75" t="s">
        <v>119</v>
      </c>
      <c r="B31" s="77">
        <v>5.9</v>
      </c>
      <c r="C31" s="77"/>
      <c r="D31" s="14"/>
    </row>
    <row r="32" spans="1:5" ht="25.5">
      <c r="B32" s="76">
        <f>SUM(B28:B31)</f>
        <v>300.7</v>
      </c>
      <c r="C32" s="76"/>
      <c r="D32" s="14" t="s">
        <v>261</v>
      </c>
      <c r="E32" s="38" t="s">
        <v>307</v>
      </c>
    </row>
    <row r="33" spans="1:5">
      <c r="A33" s="75" t="s">
        <v>36</v>
      </c>
      <c r="B33" s="77"/>
      <c r="C33" s="77"/>
      <c r="D33" s="14"/>
    </row>
    <row r="34" spans="1:5">
      <c r="A34" s="75" t="s">
        <v>120</v>
      </c>
      <c r="B34" s="77">
        <v>316</v>
      </c>
      <c r="C34" s="77"/>
      <c r="D34" s="14"/>
    </row>
    <row r="35" spans="1:5">
      <c r="A35" s="75" t="s">
        <v>121</v>
      </c>
      <c r="B35" s="77">
        <v>576.1</v>
      </c>
      <c r="C35" s="77"/>
      <c r="D35" s="14"/>
    </row>
    <row r="36" spans="1:5" ht="38.25">
      <c r="B36" s="76">
        <f>SUM(B34:B35)</f>
        <v>892.1</v>
      </c>
      <c r="C36" s="76"/>
      <c r="D36" s="14" t="s">
        <v>262</v>
      </c>
      <c r="E36" s="75" t="s">
        <v>263</v>
      </c>
    </row>
    <row r="37" spans="1:5" ht="25.5">
      <c r="A37" s="75" t="s">
        <v>37</v>
      </c>
      <c r="B37" s="76">
        <v>8.9</v>
      </c>
      <c r="C37" s="77"/>
      <c r="D37" s="14" t="s">
        <v>308</v>
      </c>
      <c r="E37" s="75" t="s">
        <v>264</v>
      </c>
    </row>
    <row r="38" spans="1:5">
      <c r="A38" s="75" t="s">
        <v>38</v>
      </c>
      <c r="B38" s="128">
        <v>16.5</v>
      </c>
      <c r="C38" s="77" t="s">
        <v>237</v>
      </c>
      <c r="D38" s="124" t="s">
        <v>305</v>
      </c>
    </row>
    <row r="39" spans="1:5">
      <c r="A39" s="75" t="s">
        <v>39</v>
      </c>
      <c r="B39" s="128">
        <v>24.4</v>
      </c>
      <c r="C39" s="77" t="s">
        <v>237</v>
      </c>
      <c r="D39" s="124" t="s">
        <v>305</v>
      </c>
    </row>
    <row r="40" spans="1:5" ht="15.75">
      <c r="A40" s="79" t="s">
        <v>55</v>
      </c>
      <c r="B40" s="180">
        <f>B4+B5+B6+B12+B13+B17+B22+B26+B32+B36+B37+B38+B39</f>
        <v>9530.6</v>
      </c>
      <c r="C40" s="76" t="s">
        <v>237</v>
      </c>
      <c r="D40" s="153" t="s">
        <v>589</v>
      </c>
    </row>
    <row r="41" spans="1:5">
      <c r="A41" s="81"/>
      <c r="B41" s="76"/>
      <c r="C41" s="76"/>
      <c r="D41" s="14"/>
    </row>
    <row r="42" spans="1:5" ht="15.75">
      <c r="A42" s="79" t="s">
        <v>62</v>
      </c>
      <c r="B42" s="82">
        <v>682.4</v>
      </c>
      <c r="C42" s="77"/>
      <c r="D42" s="92" t="s">
        <v>276</v>
      </c>
    </row>
    <row r="43" spans="1:5" ht="15.75">
      <c r="B43" s="80"/>
      <c r="C43" s="77"/>
      <c r="D43" s="14"/>
    </row>
    <row r="44" spans="1:5" ht="26.25">
      <c r="A44" s="79" t="s">
        <v>52</v>
      </c>
      <c r="B44" s="80">
        <v>340.1</v>
      </c>
      <c r="D44" s="14" t="s">
        <v>265</v>
      </c>
      <c r="E44" s="75" t="s">
        <v>266</v>
      </c>
    </row>
    <row r="46" spans="1:5" ht="15.75">
      <c r="A46" s="79" t="s">
        <v>23</v>
      </c>
      <c r="B46" s="180">
        <f>SUM(B40:B44)</f>
        <v>10553.1</v>
      </c>
      <c r="C46" s="75" t="s">
        <v>237</v>
      </c>
      <c r="D46" s="153" t="s">
        <v>589</v>
      </c>
    </row>
    <row r="48" spans="1:5" ht="15">
      <c r="A48" s="83" t="s">
        <v>91</v>
      </c>
    </row>
    <row r="49" spans="1:4">
      <c r="A49" s="75" t="s">
        <v>52</v>
      </c>
      <c r="B49" s="84">
        <f>B44</f>
        <v>340.1</v>
      </c>
    </row>
    <row r="50" spans="1:4">
      <c r="A50" s="75" t="s">
        <v>56</v>
      </c>
      <c r="B50" s="187">
        <f>B40*0.55</f>
        <v>5241.8300000000008</v>
      </c>
      <c r="C50" s="179" t="s">
        <v>592</v>
      </c>
      <c r="D50" s="200" t="s">
        <v>643</v>
      </c>
    </row>
    <row r="51" spans="1:4">
      <c r="B51" s="187">
        <f>SUM(B49:B50)</f>
        <v>5581.9300000000012</v>
      </c>
      <c r="C51" s="179" t="s">
        <v>592</v>
      </c>
    </row>
    <row r="52" spans="1:4">
      <c r="A52" s="75" t="s">
        <v>27</v>
      </c>
      <c r="B52" s="84">
        <f>B42*0.55</f>
        <v>375.32</v>
      </c>
      <c r="D52" s="200" t="s">
        <v>643</v>
      </c>
    </row>
    <row r="53" spans="1:4" ht="15.75">
      <c r="B53" s="191"/>
      <c r="C53" s="179" t="s">
        <v>592</v>
      </c>
      <c r="D53" s="218" t="s">
        <v>518</v>
      </c>
    </row>
    <row r="54" spans="1:4">
      <c r="B54" s="84"/>
    </row>
    <row r="55" spans="1:4">
      <c r="B55" s="84"/>
    </row>
    <row r="56" spans="1:4">
      <c r="A56" s="85" t="s">
        <v>269</v>
      </c>
      <c r="B56" s="84"/>
    </row>
    <row r="57" spans="1:4">
      <c r="A57" s="85" t="s">
        <v>655</v>
      </c>
      <c r="B57" s="84"/>
    </row>
    <row r="58" spans="1:4">
      <c r="B58" s="84"/>
    </row>
    <row r="59" spans="1:4">
      <c r="B59" s="84"/>
    </row>
    <row r="60" spans="1:4">
      <c r="A60" s="86" t="s">
        <v>268</v>
      </c>
      <c r="B60" s="87"/>
      <c r="C60" s="86"/>
      <c r="D60" s="86"/>
    </row>
    <row r="61" spans="1:4">
      <c r="A61" s="86" t="s">
        <v>19</v>
      </c>
      <c r="B61" s="187">
        <f>B15</f>
        <v>1999.5</v>
      </c>
      <c r="C61" s="86"/>
      <c r="D61" s="86"/>
    </row>
    <row r="62" spans="1:4">
      <c r="A62" s="86" t="s">
        <v>20</v>
      </c>
      <c r="B62" s="215">
        <f>B16</f>
        <v>2432.5</v>
      </c>
      <c r="C62" s="179" t="s">
        <v>592</v>
      </c>
      <c r="D62" s="186">
        <f>B62/B63</f>
        <v>0.54884927797833938</v>
      </c>
    </row>
    <row r="63" spans="1:4">
      <c r="A63" s="86"/>
      <c r="B63" s="87">
        <f>SUM(B61:B62)</f>
        <v>4432</v>
      </c>
      <c r="C63" s="86"/>
      <c r="D63" s="89"/>
    </row>
    <row r="64" spans="1:4">
      <c r="A64" s="86" t="s">
        <v>21</v>
      </c>
      <c r="B64" s="87">
        <f>B34</f>
        <v>316</v>
      </c>
      <c r="C64" s="86"/>
      <c r="D64" s="89"/>
    </row>
    <row r="65" spans="1:5">
      <c r="A65" s="86" t="s">
        <v>22</v>
      </c>
      <c r="B65" s="207">
        <f>B35</f>
        <v>576.1</v>
      </c>
      <c r="C65" s="86"/>
      <c r="D65" s="88">
        <f>B65/B66</f>
        <v>0.64577962111870868</v>
      </c>
    </row>
    <row r="66" spans="1:5">
      <c r="A66" s="86"/>
      <c r="B66" s="87">
        <f>SUM(B64:B65)</f>
        <v>892.1</v>
      </c>
      <c r="C66" s="86"/>
      <c r="D66" s="86"/>
    </row>
    <row r="67" spans="1:5">
      <c r="A67" s="214" t="s">
        <v>647</v>
      </c>
      <c r="B67" s="207">
        <f>B20</f>
        <v>139.4</v>
      </c>
      <c r="C67" s="86"/>
      <c r="D67" s="216" t="s">
        <v>650</v>
      </c>
    </row>
    <row r="68" spans="1:5">
      <c r="A68" s="214" t="s">
        <v>649</v>
      </c>
      <c r="B68" s="207">
        <f>B21</f>
        <v>16.5</v>
      </c>
      <c r="C68" s="86"/>
      <c r="D68" s="88">
        <f>(B67+B68)/B70</f>
        <v>0.52157912345265978</v>
      </c>
    </row>
    <row r="69" spans="1:5">
      <c r="A69" s="214" t="s">
        <v>648</v>
      </c>
      <c r="B69" s="87">
        <f>B19</f>
        <v>143</v>
      </c>
      <c r="C69" s="86"/>
      <c r="D69" s="86"/>
    </row>
    <row r="70" spans="1:5">
      <c r="A70" s="86"/>
      <c r="B70" s="87">
        <f>SUM(B67:B69)</f>
        <v>298.89999999999998</v>
      </c>
      <c r="C70" s="86"/>
      <c r="D70" s="86"/>
    </row>
    <row r="71" spans="1:5">
      <c r="A71" s="206" t="s">
        <v>624</v>
      </c>
      <c r="B71" s="207">
        <f>B62+B65+B67+B68</f>
        <v>3164.5</v>
      </c>
      <c r="C71" s="206"/>
      <c r="D71" s="206"/>
    </row>
    <row r="72" spans="1:5">
      <c r="A72" s="206" t="s">
        <v>625</v>
      </c>
      <c r="B72" s="207">
        <f>B63+B66+B70</f>
        <v>5623</v>
      </c>
      <c r="C72" s="206"/>
      <c r="D72" s="208">
        <f>B71/B72</f>
        <v>0.562777876578339</v>
      </c>
    </row>
    <row r="73" spans="1:5" ht="18">
      <c r="A73" s="86"/>
      <c r="B73" s="87"/>
      <c r="C73" s="86"/>
      <c r="D73" s="212" t="s">
        <v>645</v>
      </c>
      <c r="E73" s="213" t="s">
        <v>646</v>
      </c>
    </row>
    <row r="74" spans="1:5">
      <c r="A74" s="86"/>
      <c r="B74" s="87"/>
      <c r="C74" s="86"/>
      <c r="D74" s="86"/>
    </row>
    <row r="76" spans="1:5">
      <c r="A76" s="75" t="s">
        <v>309</v>
      </c>
    </row>
    <row r="78" spans="1:5">
      <c r="A78" s="153" t="s">
        <v>599</v>
      </c>
      <c r="B78" s="179"/>
      <c r="C78" s="179"/>
      <c r="D78" s="179"/>
    </row>
    <row r="79" spans="1:5">
      <c r="A79" s="211" t="s">
        <v>671</v>
      </c>
      <c r="B79" s="179"/>
      <c r="C79" s="179"/>
      <c r="D79" s="179"/>
    </row>
  </sheetData>
  <hyperlinks>
    <hyperlink ref="E7" r:id="rId1" display="http://www.fin.gov.nl.ca/ComptrollerGeneral/"/>
    <hyperlink ref="E5" r:id="rId2"/>
    <hyperlink ref="E6" r:id="rId3"/>
    <hyperlink ref="E26" r:id="rId4"/>
    <hyperlink ref="E32" r:id="rId5"/>
  </hyperlinks>
  <pageMargins left="0.70866141732283472" right="0.70866141732283472" top="0.74803149606299213" bottom="0.74803149606299213" header="0.31496062992125984" footer="0.31496062992125984"/>
  <pageSetup scale="70" orientation="landscape" verticalDpi="0" r:id="rId6"/>
</worksheet>
</file>

<file path=xl/worksheets/sheet28.xml><?xml version="1.0" encoding="utf-8"?>
<worksheet xmlns="http://schemas.openxmlformats.org/spreadsheetml/2006/main" xmlns:r="http://schemas.openxmlformats.org/officeDocument/2006/relationships">
  <sheetPr>
    <pageSetUpPr fitToPage="1"/>
  </sheetPr>
  <dimension ref="A1:G62"/>
  <sheetViews>
    <sheetView topLeftCell="A43" workbookViewId="0">
      <selection activeCell="B62" sqref="B62:D62"/>
    </sheetView>
  </sheetViews>
  <sheetFormatPr defaultRowHeight="12.75"/>
  <cols>
    <col min="1" max="1" width="31.7109375" customWidth="1"/>
    <col min="3" max="3" width="10" bestFit="1" customWidth="1"/>
    <col min="4" max="4" width="75.7109375" customWidth="1"/>
  </cols>
  <sheetData>
    <row r="1" spans="1:7">
      <c r="F1" s="2" t="s">
        <v>98</v>
      </c>
    </row>
    <row r="2" spans="1:7">
      <c r="B2" s="1"/>
      <c r="C2" s="1"/>
      <c r="D2" s="1"/>
      <c r="E2" s="1"/>
      <c r="F2" s="1" t="s">
        <v>65</v>
      </c>
    </row>
    <row r="3" spans="1:7">
      <c r="B3" s="1" t="s">
        <v>90</v>
      </c>
      <c r="C3" s="1"/>
      <c r="D3" s="1"/>
      <c r="E3" s="1"/>
      <c r="F3" s="12">
        <v>39206</v>
      </c>
      <c r="G3" t="s">
        <v>76</v>
      </c>
    </row>
    <row r="4" spans="1:7">
      <c r="B4" s="1" t="s">
        <v>16</v>
      </c>
      <c r="C4" s="1"/>
      <c r="D4" s="1"/>
      <c r="E4" s="1"/>
      <c r="F4" s="13" t="s">
        <v>67</v>
      </c>
    </row>
    <row r="5" spans="1:7" hidden="1">
      <c r="F5" t="s">
        <v>97</v>
      </c>
    </row>
    <row r="6" spans="1:7" ht="38.25">
      <c r="A6" t="s">
        <v>28</v>
      </c>
      <c r="B6" s="8">
        <v>212.7</v>
      </c>
      <c r="C6" s="8"/>
      <c r="D6" s="14" t="s">
        <v>77</v>
      </c>
      <c r="F6" s="10">
        <v>271700</v>
      </c>
    </row>
    <row r="7" spans="1:7" ht="38.25">
      <c r="A7" t="s">
        <v>29</v>
      </c>
      <c r="B7" s="8">
        <v>28</v>
      </c>
      <c r="C7" s="8"/>
      <c r="D7" s="14" t="s">
        <v>78</v>
      </c>
      <c r="F7" s="10" t="s">
        <v>66</v>
      </c>
    </row>
    <row r="8" spans="1:7" ht="25.5">
      <c r="A8" t="s">
        <v>30</v>
      </c>
      <c r="B8" s="8">
        <v>225.9</v>
      </c>
      <c r="C8" s="8"/>
      <c r="D8" s="14" t="s">
        <v>79</v>
      </c>
      <c r="F8" s="10">
        <v>274146</v>
      </c>
    </row>
    <row r="9" spans="1:7">
      <c r="A9" t="s">
        <v>31</v>
      </c>
      <c r="B9" s="9"/>
      <c r="C9" s="9"/>
    </row>
    <row r="10" spans="1:7">
      <c r="A10" t="s">
        <v>40</v>
      </c>
      <c r="B10" s="9">
        <v>4.8</v>
      </c>
      <c r="C10" s="9"/>
    </row>
    <row r="11" spans="1:7">
      <c r="A11" t="s">
        <v>41</v>
      </c>
      <c r="B11" s="9">
        <v>125</v>
      </c>
      <c r="C11" s="9"/>
    </row>
    <row r="12" spans="1:7">
      <c r="A12" t="s">
        <v>42</v>
      </c>
      <c r="B12" s="9">
        <v>36.9</v>
      </c>
      <c r="C12" s="9"/>
    </row>
    <row r="13" spans="1:7">
      <c r="A13" t="s">
        <v>80</v>
      </c>
      <c r="B13" s="9">
        <v>19.100000000000001</v>
      </c>
      <c r="C13" s="9"/>
    </row>
    <row r="14" spans="1:7" ht="25.5">
      <c r="B14" s="8">
        <f>SUM(B10:B13)</f>
        <v>185.8</v>
      </c>
      <c r="C14" s="8"/>
      <c r="D14" s="14" t="s">
        <v>81</v>
      </c>
      <c r="F14" s="10">
        <v>195774</v>
      </c>
    </row>
    <row r="15" spans="1:7" ht="38.25">
      <c r="A15" t="s">
        <v>32</v>
      </c>
      <c r="B15" s="8">
        <v>2688.8</v>
      </c>
      <c r="C15" s="8"/>
      <c r="D15" s="14" t="s">
        <v>82</v>
      </c>
      <c r="F15" s="10">
        <v>2688804</v>
      </c>
    </row>
    <row r="16" spans="1:7">
      <c r="A16" t="s">
        <v>33</v>
      </c>
      <c r="B16" s="9"/>
      <c r="C16" s="9"/>
    </row>
    <row r="17" spans="1:6" ht="51">
      <c r="A17" t="s">
        <v>43</v>
      </c>
      <c r="B17" s="19">
        <f>C17*1.25</f>
        <v>1920.875</v>
      </c>
      <c r="C17" s="9">
        <v>1536.7</v>
      </c>
      <c r="D17" s="14" t="s">
        <v>586</v>
      </c>
    </row>
    <row r="18" spans="1:6">
      <c r="A18" t="s">
        <v>44</v>
      </c>
      <c r="B18" s="154">
        <f>C18</f>
        <v>2298.9</v>
      </c>
      <c r="C18" s="9">
        <v>2298.9</v>
      </c>
      <c r="D18" s="175" t="s">
        <v>587</v>
      </c>
    </row>
    <row r="19" spans="1:6">
      <c r="B19" s="174">
        <f>SUM(B17:B18)</f>
        <v>4219.7749999999996</v>
      </c>
      <c r="C19" s="8">
        <f>SUM(C17:C18)</f>
        <v>3835.6000000000004</v>
      </c>
      <c r="D19" s="175" t="s">
        <v>588</v>
      </c>
      <c r="F19" s="10">
        <v>4724700</v>
      </c>
    </row>
    <row r="20" spans="1:6">
      <c r="A20" t="s">
        <v>34</v>
      </c>
      <c r="B20" s="9"/>
      <c r="C20" s="9"/>
    </row>
    <row r="21" spans="1:6">
      <c r="A21" t="s">
        <v>45</v>
      </c>
      <c r="B21" s="9">
        <v>146.19999999999999</v>
      </c>
      <c r="C21" s="9"/>
    </row>
    <row r="22" spans="1:6">
      <c r="A22" t="s">
        <v>46</v>
      </c>
      <c r="B22" s="9">
        <v>135.19999999999999</v>
      </c>
      <c r="C22" s="9"/>
    </row>
    <row r="23" spans="1:6">
      <c r="A23" t="s">
        <v>47</v>
      </c>
      <c r="B23" s="9">
        <v>16</v>
      </c>
      <c r="C23" s="9"/>
    </row>
    <row r="24" spans="1:6" ht="25.5">
      <c r="B24" s="8">
        <f>SUM(B21:B23)</f>
        <v>297.39999999999998</v>
      </c>
      <c r="C24" s="8"/>
      <c r="D24" s="14" t="s">
        <v>83</v>
      </c>
      <c r="F24" s="10" t="s">
        <v>66</v>
      </c>
    </row>
    <row r="25" spans="1:6" ht="25.5">
      <c r="A25" t="s">
        <v>48</v>
      </c>
      <c r="B25" s="8">
        <v>236.7</v>
      </c>
      <c r="C25" s="8"/>
      <c r="D25" s="14" t="s">
        <v>84</v>
      </c>
      <c r="F25" s="10">
        <v>195774</v>
      </c>
    </row>
    <row r="26" spans="1:6">
      <c r="A26" t="s">
        <v>35</v>
      </c>
      <c r="B26" s="9"/>
      <c r="C26" s="9"/>
    </row>
    <row r="27" spans="1:6">
      <c r="A27" t="s">
        <v>49</v>
      </c>
      <c r="B27" s="9">
        <v>118.3</v>
      </c>
      <c r="C27" s="9"/>
    </row>
    <row r="28" spans="1:6">
      <c r="A28" t="s">
        <v>50</v>
      </c>
      <c r="B28" s="9">
        <v>29.9</v>
      </c>
      <c r="C28" s="9"/>
    </row>
    <row r="29" spans="1:6">
      <c r="A29" t="s">
        <v>51</v>
      </c>
      <c r="B29" s="9">
        <v>97.6</v>
      </c>
      <c r="C29" s="9"/>
    </row>
    <row r="30" spans="1:6" ht="25.5">
      <c r="B30" s="8">
        <f>SUM(B27:B29)</f>
        <v>245.79999999999998</v>
      </c>
      <c r="C30" s="8"/>
      <c r="D30" s="14" t="s">
        <v>88</v>
      </c>
      <c r="F30" s="10">
        <v>307932</v>
      </c>
    </row>
    <row r="31" spans="1:6">
      <c r="A31" t="s">
        <v>36</v>
      </c>
      <c r="B31" s="9"/>
      <c r="C31" s="9"/>
    </row>
    <row r="32" spans="1:6">
      <c r="A32" t="s">
        <v>53</v>
      </c>
      <c r="B32" s="9">
        <v>375.2</v>
      </c>
      <c r="C32" s="9"/>
    </row>
    <row r="33" spans="1:6">
      <c r="A33" t="s">
        <v>54</v>
      </c>
      <c r="B33" s="9">
        <v>510.3</v>
      </c>
      <c r="C33" s="9"/>
    </row>
    <row r="34" spans="1:6" ht="51">
      <c r="B34" s="8">
        <f>SUM(B32:B33)</f>
        <v>885.5</v>
      </c>
      <c r="C34" s="8"/>
      <c r="D34" s="14" t="s">
        <v>85</v>
      </c>
      <c r="F34" s="10" t="s">
        <v>66</v>
      </c>
    </row>
    <row r="35" spans="1:6" ht="38.25">
      <c r="A35" t="s">
        <v>37</v>
      </c>
      <c r="B35" s="8">
        <v>9</v>
      </c>
      <c r="C35" s="9"/>
      <c r="D35" s="14" t="s">
        <v>86</v>
      </c>
      <c r="F35" s="10">
        <v>9086</v>
      </c>
    </row>
    <row r="36" spans="1:6">
      <c r="A36" t="s">
        <v>38</v>
      </c>
      <c r="B36" s="16">
        <v>9.1</v>
      </c>
      <c r="C36" s="9"/>
      <c r="D36" t="s">
        <v>87</v>
      </c>
      <c r="F36" s="10">
        <v>9072</v>
      </c>
    </row>
    <row r="37" spans="1:6">
      <c r="A37" t="s">
        <v>39</v>
      </c>
      <c r="B37" s="16">
        <v>23.9</v>
      </c>
      <c r="C37" s="9"/>
      <c r="D37" t="s">
        <v>87</v>
      </c>
      <c r="F37" s="10">
        <v>23875</v>
      </c>
    </row>
    <row r="38" spans="1:6" ht="15.75">
      <c r="A38" s="4" t="s">
        <v>55</v>
      </c>
      <c r="B38" s="176">
        <f>B6+B7+B8+B14+B15+B19+B24+B25+B30+B34+B35+B36+B37</f>
        <v>9268.375</v>
      </c>
      <c r="C38" s="8"/>
      <c r="D38" s="153" t="s">
        <v>589</v>
      </c>
      <c r="F38" s="11">
        <f>SUM(F6:F37)</f>
        <v>8700863</v>
      </c>
    </row>
    <row r="39" spans="1:6">
      <c r="A39" s="2"/>
      <c r="B39" s="8"/>
      <c r="C39" s="8"/>
    </row>
    <row r="40" spans="1:6">
      <c r="A40" t="s">
        <v>62</v>
      </c>
      <c r="B40" s="9">
        <v>650.29999999999995</v>
      </c>
      <c r="C40" s="9"/>
      <c r="D40" t="s">
        <v>87</v>
      </c>
    </row>
    <row r="41" spans="1:6">
      <c r="B41" s="9"/>
      <c r="C41" s="9"/>
    </row>
    <row r="42" spans="1:6" ht="15">
      <c r="A42" s="18" t="s">
        <v>91</v>
      </c>
      <c r="B42" s="9"/>
      <c r="C42" s="9"/>
    </row>
    <row r="43" spans="1:6">
      <c r="A43" t="s">
        <v>52</v>
      </c>
      <c r="B43" s="9">
        <v>270.5</v>
      </c>
      <c r="C43" s="9"/>
      <c r="D43" t="s">
        <v>89</v>
      </c>
    </row>
    <row r="44" spans="1:6">
      <c r="A44" t="s">
        <v>56</v>
      </c>
      <c r="B44" s="188">
        <f>B38*0.55</f>
        <v>5097.6062500000007</v>
      </c>
      <c r="C44" s="153" t="s">
        <v>592</v>
      </c>
      <c r="D44" s="200" t="s">
        <v>643</v>
      </c>
    </row>
    <row r="45" spans="1:6">
      <c r="B45" s="20">
        <f>SUM(B43:B44)</f>
        <v>5368.1062500000007</v>
      </c>
      <c r="C45" s="8"/>
    </row>
    <row r="46" spans="1:6">
      <c r="A46" t="s">
        <v>27</v>
      </c>
      <c r="B46" s="19">
        <f>B40*0.55</f>
        <v>357.66500000000002</v>
      </c>
      <c r="D46" s="200" t="s">
        <v>643</v>
      </c>
    </row>
    <row r="47" spans="1:6">
      <c r="B47" s="19"/>
    </row>
    <row r="48" spans="1:6">
      <c r="B48" s="19"/>
    </row>
    <row r="50" spans="1:5">
      <c r="A50" s="3" t="s">
        <v>25</v>
      </c>
      <c r="B50" s="3"/>
      <c r="C50" s="3"/>
      <c r="D50" s="3"/>
    </row>
    <row r="51" spans="1:5">
      <c r="A51" s="3" t="s">
        <v>26</v>
      </c>
      <c r="B51" s="3"/>
      <c r="C51" s="3"/>
      <c r="D51" s="3"/>
    </row>
    <row r="53" spans="1:5">
      <c r="A53" t="s">
        <v>19</v>
      </c>
      <c r="B53" s="154">
        <f>B17</f>
        <v>1920.875</v>
      </c>
    </row>
    <row r="54" spans="1:5">
      <c r="A54" t="s">
        <v>20</v>
      </c>
      <c r="B54" s="154">
        <f>B18</f>
        <v>2298.9</v>
      </c>
      <c r="C54" s="179" t="s">
        <v>592</v>
      </c>
      <c r="D54" s="186">
        <f>B54/B55</f>
        <v>0.54479208014645342</v>
      </c>
    </row>
    <row r="55" spans="1:5">
      <c r="B55" s="183">
        <f>SUM(B53:B54)</f>
        <v>4219.7749999999996</v>
      </c>
      <c r="C55" s="3"/>
      <c r="D55" s="15"/>
    </row>
    <row r="56" spans="1:5">
      <c r="A56" t="s">
        <v>21</v>
      </c>
      <c r="B56">
        <v>375.2</v>
      </c>
      <c r="D56" s="15"/>
    </row>
    <row r="57" spans="1:5">
      <c r="A57" t="s">
        <v>22</v>
      </c>
      <c r="B57">
        <v>510.3</v>
      </c>
      <c r="D57" s="15"/>
    </row>
    <row r="58" spans="1:5">
      <c r="B58" s="3">
        <f>SUM(B56:B57)</f>
        <v>885.5</v>
      </c>
      <c r="C58" s="3"/>
      <c r="D58" s="15">
        <f>B57/B58</f>
        <v>0.57628458498023716</v>
      </c>
    </row>
    <row r="59" spans="1:5" ht="18">
      <c r="D59" s="212" t="s">
        <v>645</v>
      </c>
      <c r="E59" s="213" t="s">
        <v>646</v>
      </c>
    </row>
    <row r="61" spans="1:5">
      <c r="A61" s="153" t="s">
        <v>599</v>
      </c>
      <c r="B61" s="153"/>
      <c r="C61" s="153"/>
      <c r="D61" s="153"/>
    </row>
    <row r="62" spans="1:5">
      <c r="A62" s="211" t="s">
        <v>671</v>
      </c>
      <c r="B62" s="153"/>
      <c r="C62" s="153"/>
      <c r="D62" s="153"/>
    </row>
  </sheetData>
  <pageMargins left="0.74803149606299213" right="0.74803149606299213" top="0.98425196850393704" bottom="0.98425196850393704" header="0.51181102362204722" footer="0.51181102362204722"/>
  <pageSetup scale="68" fitToHeight="2" orientation="landscape" horizontalDpi="300" verticalDpi="0" r:id="rId1"/>
  <headerFooter alignWithMargins="0"/>
</worksheet>
</file>

<file path=xl/worksheets/sheet29.xml><?xml version="1.0" encoding="utf-8"?>
<worksheet xmlns="http://schemas.openxmlformats.org/spreadsheetml/2006/main" xmlns:r="http://schemas.openxmlformats.org/officeDocument/2006/relationships">
  <sheetPr>
    <tabColor rgb="FFFF0000"/>
  </sheetPr>
  <dimension ref="A1:AD290"/>
  <sheetViews>
    <sheetView topLeftCell="A250" workbookViewId="0">
      <pane xSplit="1" topLeftCell="B1" activePane="topRight" state="frozen"/>
      <selection activeCell="A246" sqref="A246"/>
      <selection pane="topRight" activeCell="D272" sqref="D272"/>
    </sheetView>
  </sheetViews>
  <sheetFormatPr defaultRowHeight="12.75"/>
  <cols>
    <col min="1" max="1" width="35.42578125" customWidth="1"/>
    <col min="2" max="2" width="10.140625" customWidth="1"/>
    <col min="3" max="3" width="2.7109375" customWidth="1"/>
    <col min="4" max="4" width="14" customWidth="1"/>
    <col min="10" max="10" width="9.28515625" bestFit="1" customWidth="1"/>
    <col min="12" max="12" width="9.28515625" bestFit="1" customWidth="1"/>
    <col min="21" max="21" width="10" customWidth="1"/>
    <col min="24" max="25" width="10.7109375" customWidth="1"/>
    <col min="266" max="266" width="35.42578125" customWidth="1"/>
    <col min="267" max="267" width="10.140625" customWidth="1"/>
    <col min="268" max="268" width="14" customWidth="1"/>
    <col min="269" max="269" width="10.140625" customWidth="1"/>
    <col min="270" max="270" width="14" customWidth="1"/>
    <col min="278" max="278" width="10" customWidth="1"/>
    <col min="522" max="522" width="35.42578125" customWidth="1"/>
    <col min="523" max="523" width="10.140625" customWidth="1"/>
    <col min="524" max="524" width="14" customWidth="1"/>
    <col min="525" max="525" width="10.140625" customWidth="1"/>
    <col min="526" max="526" width="14" customWidth="1"/>
    <col min="534" max="534" width="10" customWidth="1"/>
    <col min="778" max="778" width="35.42578125" customWidth="1"/>
    <col min="779" max="779" width="10.140625" customWidth="1"/>
    <col min="780" max="780" width="14" customWidth="1"/>
    <col min="781" max="781" width="10.140625" customWidth="1"/>
    <col min="782" max="782" width="14" customWidth="1"/>
    <col min="790" max="790" width="10" customWidth="1"/>
    <col min="1034" max="1034" width="35.42578125" customWidth="1"/>
    <col min="1035" max="1035" width="10.140625" customWidth="1"/>
    <col min="1036" max="1036" width="14" customWidth="1"/>
    <col min="1037" max="1037" width="10.140625" customWidth="1"/>
    <col min="1038" max="1038" width="14" customWidth="1"/>
    <col min="1046" max="1046" width="10" customWidth="1"/>
    <col min="1290" max="1290" width="35.42578125" customWidth="1"/>
    <col min="1291" max="1291" width="10.140625" customWidth="1"/>
    <col min="1292" max="1292" width="14" customWidth="1"/>
    <col min="1293" max="1293" width="10.140625" customWidth="1"/>
    <col min="1294" max="1294" width="14" customWidth="1"/>
    <col min="1302" max="1302" width="10" customWidth="1"/>
    <col min="1546" max="1546" width="35.42578125" customWidth="1"/>
    <col min="1547" max="1547" width="10.140625" customWidth="1"/>
    <col min="1548" max="1548" width="14" customWidth="1"/>
    <col min="1549" max="1549" width="10.140625" customWidth="1"/>
    <col min="1550" max="1550" width="14" customWidth="1"/>
    <col min="1558" max="1558" width="10" customWidth="1"/>
    <col min="1802" max="1802" width="35.42578125" customWidth="1"/>
    <col min="1803" max="1803" width="10.140625" customWidth="1"/>
    <col min="1804" max="1804" width="14" customWidth="1"/>
    <col min="1805" max="1805" width="10.140625" customWidth="1"/>
    <col min="1806" max="1806" width="14" customWidth="1"/>
    <col min="1814" max="1814" width="10" customWidth="1"/>
    <col min="2058" max="2058" width="35.42578125" customWidth="1"/>
    <col min="2059" max="2059" width="10.140625" customWidth="1"/>
    <col min="2060" max="2060" width="14" customWidth="1"/>
    <col min="2061" max="2061" width="10.140625" customWidth="1"/>
    <col min="2062" max="2062" width="14" customWidth="1"/>
    <col min="2070" max="2070" width="10" customWidth="1"/>
    <col min="2314" max="2314" width="35.42578125" customWidth="1"/>
    <col min="2315" max="2315" width="10.140625" customWidth="1"/>
    <col min="2316" max="2316" width="14" customWidth="1"/>
    <col min="2317" max="2317" width="10.140625" customWidth="1"/>
    <col min="2318" max="2318" width="14" customWidth="1"/>
    <col min="2326" max="2326" width="10" customWidth="1"/>
    <col min="2570" max="2570" width="35.42578125" customWidth="1"/>
    <col min="2571" max="2571" width="10.140625" customWidth="1"/>
    <col min="2572" max="2572" width="14" customWidth="1"/>
    <col min="2573" max="2573" width="10.140625" customWidth="1"/>
    <col min="2574" max="2574" width="14" customWidth="1"/>
    <col min="2582" max="2582" width="10" customWidth="1"/>
    <col min="2826" max="2826" width="35.42578125" customWidth="1"/>
    <col min="2827" max="2827" width="10.140625" customWidth="1"/>
    <col min="2828" max="2828" width="14" customWidth="1"/>
    <col min="2829" max="2829" width="10.140625" customWidth="1"/>
    <col min="2830" max="2830" width="14" customWidth="1"/>
    <col min="2838" max="2838" width="10" customWidth="1"/>
    <col min="3082" max="3082" width="35.42578125" customWidth="1"/>
    <col min="3083" max="3083" width="10.140625" customWidth="1"/>
    <col min="3084" max="3084" width="14" customWidth="1"/>
    <col min="3085" max="3085" width="10.140625" customWidth="1"/>
    <col min="3086" max="3086" width="14" customWidth="1"/>
    <col min="3094" max="3094" width="10" customWidth="1"/>
    <col min="3338" max="3338" width="35.42578125" customWidth="1"/>
    <col min="3339" max="3339" width="10.140625" customWidth="1"/>
    <col min="3340" max="3340" width="14" customWidth="1"/>
    <col min="3341" max="3341" width="10.140625" customWidth="1"/>
    <col min="3342" max="3342" width="14" customWidth="1"/>
    <col min="3350" max="3350" width="10" customWidth="1"/>
    <col min="3594" max="3594" width="35.42578125" customWidth="1"/>
    <col min="3595" max="3595" width="10.140625" customWidth="1"/>
    <col min="3596" max="3596" width="14" customWidth="1"/>
    <col min="3597" max="3597" width="10.140625" customWidth="1"/>
    <col min="3598" max="3598" width="14" customWidth="1"/>
    <col min="3606" max="3606" width="10" customWidth="1"/>
    <col min="3850" max="3850" width="35.42578125" customWidth="1"/>
    <col min="3851" max="3851" width="10.140625" customWidth="1"/>
    <col min="3852" max="3852" width="14" customWidth="1"/>
    <col min="3853" max="3853" width="10.140625" customWidth="1"/>
    <col min="3854" max="3854" width="14" customWidth="1"/>
    <col min="3862" max="3862" width="10" customWidth="1"/>
    <col min="4106" max="4106" width="35.42578125" customWidth="1"/>
    <col min="4107" max="4107" width="10.140625" customWidth="1"/>
    <col min="4108" max="4108" width="14" customWidth="1"/>
    <col min="4109" max="4109" width="10.140625" customWidth="1"/>
    <col min="4110" max="4110" width="14" customWidth="1"/>
    <col min="4118" max="4118" width="10" customWidth="1"/>
    <col min="4362" max="4362" width="35.42578125" customWidth="1"/>
    <col min="4363" max="4363" width="10.140625" customWidth="1"/>
    <col min="4364" max="4364" width="14" customWidth="1"/>
    <col min="4365" max="4365" width="10.140625" customWidth="1"/>
    <col min="4366" max="4366" width="14" customWidth="1"/>
    <col min="4374" max="4374" width="10" customWidth="1"/>
    <col min="4618" max="4618" width="35.42578125" customWidth="1"/>
    <col min="4619" max="4619" width="10.140625" customWidth="1"/>
    <col min="4620" max="4620" width="14" customWidth="1"/>
    <col min="4621" max="4621" width="10.140625" customWidth="1"/>
    <col min="4622" max="4622" width="14" customWidth="1"/>
    <col min="4630" max="4630" width="10" customWidth="1"/>
    <col min="4874" max="4874" width="35.42578125" customWidth="1"/>
    <col min="4875" max="4875" width="10.140625" customWidth="1"/>
    <col min="4876" max="4876" width="14" customWidth="1"/>
    <col min="4877" max="4877" width="10.140625" customWidth="1"/>
    <col min="4878" max="4878" width="14" customWidth="1"/>
    <col min="4886" max="4886" width="10" customWidth="1"/>
    <col min="5130" max="5130" width="35.42578125" customWidth="1"/>
    <col min="5131" max="5131" width="10.140625" customWidth="1"/>
    <col min="5132" max="5132" width="14" customWidth="1"/>
    <col min="5133" max="5133" width="10.140625" customWidth="1"/>
    <col min="5134" max="5134" width="14" customWidth="1"/>
    <col min="5142" max="5142" width="10" customWidth="1"/>
    <col min="5386" max="5386" width="35.42578125" customWidth="1"/>
    <col min="5387" max="5387" width="10.140625" customWidth="1"/>
    <col min="5388" max="5388" width="14" customWidth="1"/>
    <col min="5389" max="5389" width="10.140625" customWidth="1"/>
    <col min="5390" max="5390" width="14" customWidth="1"/>
    <col min="5398" max="5398" width="10" customWidth="1"/>
    <col min="5642" max="5642" width="35.42578125" customWidth="1"/>
    <col min="5643" max="5643" width="10.140625" customWidth="1"/>
    <col min="5644" max="5644" width="14" customWidth="1"/>
    <col min="5645" max="5645" width="10.140625" customWidth="1"/>
    <col min="5646" max="5646" width="14" customWidth="1"/>
    <col min="5654" max="5654" width="10" customWidth="1"/>
    <col min="5898" max="5898" width="35.42578125" customWidth="1"/>
    <col min="5899" max="5899" width="10.140625" customWidth="1"/>
    <col min="5900" max="5900" width="14" customWidth="1"/>
    <col min="5901" max="5901" width="10.140625" customWidth="1"/>
    <col min="5902" max="5902" width="14" customWidth="1"/>
    <col min="5910" max="5910" width="10" customWidth="1"/>
    <col min="6154" max="6154" width="35.42578125" customWidth="1"/>
    <col min="6155" max="6155" width="10.140625" customWidth="1"/>
    <col min="6156" max="6156" width="14" customWidth="1"/>
    <col min="6157" max="6157" width="10.140625" customWidth="1"/>
    <col min="6158" max="6158" width="14" customWidth="1"/>
    <col min="6166" max="6166" width="10" customWidth="1"/>
    <col min="6410" max="6410" width="35.42578125" customWidth="1"/>
    <col min="6411" max="6411" width="10.140625" customWidth="1"/>
    <col min="6412" max="6412" width="14" customWidth="1"/>
    <col min="6413" max="6413" width="10.140625" customWidth="1"/>
    <col min="6414" max="6414" width="14" customWidth="1"/>
    <col min="6422" max="6422" width="10" customWidth="1"/>
    <col min="6666" max="6666" width="35.42578125" customWidth="1"/>
    <col min="6667" max="6667" width="10.140625" customWidth="1"/>
    <col min="6668" max="6668" width="14" customWidth="1"/>
    <col min="6669" max="6669" width="10.140625" customWidth="1"/>
    <col min="6670" max="6670" width="14" customWidth="1"/>
    <col min="6678" max="6678" width="10" customWidth="1"/>
    <col min="6922" max="6922" width="35.42578125" customWidth="1"/>
    <col min="6923" max="6923" width="10.140625" customWidth="1"/>
    <col min="6924" max="6924" width="14" customWidth="1"/>
    <col min="6925" max="6925" width="10.140625" customWidth="1"/>
    <col min="6926" max="6926" width="14" customWidth="1"/>
    <col min="6934" max="6934" width="10" customWidth="1"/>
    <col min="7178" max="7178" width="35.42578125" customWidth="1"/>
    <col min="7179" max="7179" width="10.140625" customWidth="1"/>
    <col min="7180" max="7180" width="14" customWidth="1"/>
    <col min="7181" max="7181" width="10.140625" customWidth="1"/>
    <col min="7182" max="7182" width="14" customWidth="1"/>
    <col min="7190" max="7190" width="10" customWidth="1"/>
    <col min="7434" max="7434" width="35.42578125" customWidth="1"/>
    <col min="7435" max="7435" width="10.140625" customWidth="1"/>
    <col min="7436" max="7436" width="14" customWidth="1"/>
    <col min="7437" max="7437" width="10.140625" customWidth="1"/>
    <col min="7438" max="7438" width="14" customWidth="1"/>
    <col min="7446" max="7446" width="10" customWidth="1"/>
    <col min="7690" max="7690" width="35.42578125" customWidth="1"/>
    <col min="7691" max="7691" width="10.140625" customWidth="1"/>
    <col min="7692" max="7692" width="14" customWidth="1"/>
    <col min="7693" max="7693" width="10.140625" customWidth="1"/>
    <col min="7694" max="7694" width="14" customWidth="1"/>
    <col min="7702" max="7702" width="10" customWidth="1"/>
    <col min="7946" max="7946" width="35.42578125" customWidth="1"/>
    <col min="7947" max="7947" width="10.140625" customWidth="1"/>
    <col min="7948" max="7948" width="14" customWidth="1"/>
    <col min="7949" max="7949" width="10.140625" customWidth="1"/>
    <col min="7950" max="7950" width="14" customWidth="1"/>
    <col min="7958" max="7958" width="10" customWidth="1"/>
    <col min="8202" max="8202" width="35.42578125" customWidth="1"/>
    <col min="8203" max="8203" width="10.140625" customWidth="1"/>
    <col min="8204" max="8204" width="14" customWidth="1"/>
    <col min="8205" max="8205" width="10.140625" customWidth="1"/>
    <col min="8206" max="8206" width="14" customWidth="1"/>
    <col min="8214" max="8214" width="10" customWidth="1"/>
    <col min="8458" max="8458" width="35.42578125" customWidth="1"/>
    <col min="8459" max="8459" width="10.140625" customWidth="1"/>
    <col min="8460" max="8460" width="14" customWidth="1"/>
    <col min="8461" max="8461" width="10.140625" customWidth="1"/>
    <col min="8462" max="8462" width="14" customWidth="1"/>
    <col min="8470" max="8470" width="10" customWidth="1"/>
    <col min="8714" max="8714" width="35.42578125" customWidth="1"/>
    <col min="8715" max="8715" width="10.140625" customWidth="1"/>
    <col min="8716" max="8716" width="14" customWidth="1"/>
    <col min="8717" max="8717" width="10.140625" customWidth="1"/>
    <col min="8718" max="8718" width="14" customWidth="1"/>
    <col min="8726" max="8726" width="10" customWidth="1"/>
    <col min="8970" max="8970" width="35.42578125" customWidth="1"/>
    <col min="8971" max="8971" width="10.140625" customWidth="1"/>
    <col min="8972" max="8972" width="14" customWidth="1"/>
    <col min="8973" max="8973" width="10.140625" customWidth="1"/>
    <col min="8974" max="8974" width="14" customWidth="1"/>
    <col min="8982" max="8982" width="10" customWidth="1"/>
    <col min="9226" max="9226" width="35.42578125" customWidth="1"/>
    <col min="9227" max="9227" width="10.140625" customWidth="1"/>
    <col min="9228" max="9228" width="14" customWidth="1"/>
    <col min="9229" max="9229" width="10.140625" customWidth="1"/>
    <col min="9230" max="9230" width="14" customWidth="1"/>
    <col min="9238" max="9238" width="10" customWidth="1"/>
    <col min="9482" max="9482" width="35.42578125" customWidth="1"/>
    <col min="9483" max="9483" width="10.140625" customWidth="1"/>
    <col min="9484" max="9484" width="14" customWidth="1"/>
    <col min="9485" max="9485" width="10.140625" customWidth="1"/>
    <col min="9486" max="9486" width="14" customWidth="1"/>
    <col min="9494" max="9494" width="10" customWidth="1"/>
    <col min="9738" max="9738" width="35.42578125" customWidth="1"/>
    <col min="9739" max="9739" width="10.140625" customWidth="1"/>
    <col min="9740" max="9740" width="14" customWidth="1"/>
    <col min="9741" max="9741" width="10.140625" customWidth="1"/>
    <col min="9742" max="9742" width="14" customWidth="1"/>
    <col min="9750" max="9750" width="10" customWidth="1"/>
    <col min="9994" max="9994" width="35.42578125" customWidth="1"/>
    <col min="9995" max="9995" width="10.140625" customWidth="1"/>
    <col min="9996" max="9996" width="14" customWidth="1"/>
    <col min="9997" max="9997" width="10.140625" customWidth="1"/>
    <col min="9998" max="9998" width="14" customWidth="1"/>
    <col min="10006" max="10006" width="10" customWidth="1"/>
    <col min="10250" max="10250" width="35.42578125" customWidth="1"/>
    <col min="10251" max="10251" width="10.140625" customWidth="1"/>
    <col min="10252" max="10252" width="14" customWidth="1"/>
    <col min="10253" max="10253" width="10.140625" customWidth="1"/>
    <col min="10254" max="10254" width="14" customWidth="1"/>
    <col min="10262" max="10262" width="10" customWidth="1"/>
    <col min="10506" max="10506" width="35.42578125" customWidth="1"/>
    <col min="10507" max="10507" width="10.140625" customWidth="1"/>
    <col min="10508" max="10508" width="14" customWidth="1"/>
    <col min="10509" max="10509" width="10.140625" customWidth="1"/>
    <col min="10510" max="10510" width="14" customWidth="1"/>
    <col min="10518" max="10518" width="10" customWidth="1"/>
    <col min="10762" max="10762" width="35.42578125" customWidth="1"/>
    <col min="10763" max="10763" width="10.140625" customWidth="1"/>
    <col min="10764" max="10764" width="14" customWidth="1"/>
    <col min="10765" max="10765" width="10.140625" customWidth="1"/>
    <col min="10766" max="10766" width="14" customWidth="1"/>
    <col min="10774" max="10774" width="10" customWidth="1"/>
    <col min="11018" max="11018" width="35.42578125" customWidth="1"/>
    <col min="11019" max="11019" width="10.140625" customWidth="1"/>
    <col min="11020" max="11020" width="14" customWidth="1"/>
    <col min="11021" max="11021" width="10.140625" customWidth="1"/>
    <col min="11022" max="11022" width="14" customWidth="1"/>
    <col min="11030" max="11030" width="10" customWidth="1"/>
    <col min="11274" max="11274" width="35.42578125" customWidth="1"/>
    <col min="11275" max="11275" width="10.140625" customWidth="1"/>
    <col min="11276" max="11276" width="14" customWidth="1"/>
    <col min="11277" max="11277" width="10.140625" customWidth="1"/>
    <col min="11278" max="11278" width="14" customWidth="1"/>
    <col min="11286" max="11286" width="10" customWidth="1"/>
    <col min="11530" max="11530" width="35.42578125" customWidth="1"/>
    <col min="11531" max="11531" width="10.140625" customWidth="1"/>
    <col min="11532" max="11532" width="14" customWidth="1"/>
    <col min="11533" max="11533" width="10.140625" customWidth="1"/>
    <col min="11534" max="11534" width="14" customWidth="1"/>
    <col min="11542" max="11542" width="10" customWidth="1"/>
    <col min="11786" max="11786" width="35.42578125" customWidth="1"/>
    <col min="11787" max="11787" width="10.140625" customWidth="1"/>
    <col min="11788" max="11788" width="14" customWidth="1"/>
    <col min="11789" max="11789" width="10.140625" customWidth="1"/>
    <col min="11790" max="11790" width="14" customWidth="1"/>
    <col min="11798" max="11798" width="10" customWidth="1"/>
    <col min="12042" max="12042" width="35.42578125" customWidth="1"/>
    <col min="12043" max="12043" width="10.140625" customWidth="1"/>
    <col min="12044" max="12044" width="14" customWidth="1"/>
    <col min="12045" max="12045" width="10.140625" customWidth="1"/>
    <col min="12046" max="12046" width="14" customWidth="1"/>
    <col min="12054" max="12054" width="10" customWidth="1"/>
    <col min="12298" max="12298" width="35.42578125" customWidth="1"/>
    <col min="12299" max="12299" width="10.140625" customWidth="1"/>
    <col min="12300" max="12300" width="14" customWidth="1"/>
    <col min="12301" max="12301" width="10.140625" customWidth="1"/>
    <col min="12302" max="12302" width="14" customWidth="1"/>
    <col min="12310" max="12310" width="10" customWidth="1"/>
    <col min="12554" max="12554" width="35.42578125" customWidth="1"/>
    <col min="12555" max="12555" width="10.140625" customWidth="1"/>
    <col min="12556" max="12556" width="14" customWidth="1"/>
    <col min="12557" max="12557" width="10.140625" customWidth="1"/>
    <col min="12558" max="12558" width="14" customWidth="1"/>
    <col min="12566" max="12566" width="10" customWidth="1"/>
    <col min="12810" max="12810" width="35.42578125" customWidth="1"/>
    <col min="12811" max="12811" width="10.140625" customWidth="1"/>
    <col min="12812" max="12812" width="14" customWidth="1"/>
    <col min="12813" max="12813" width="10.140625" customWidth="1"/>
    <col min="12814" max="12814" width="14" customWidth="1"/>
    <col min="12822" max="12822" width="10" customWidth="1"/>
    <col min="13066" max="13066" width="35.42578125" customWidth="1"/>
    <col min="13067" max="13067" width="10.140625" customWidth="1"/>
    <col min="13068" max="13068" width="14" customWidth="1"/>
    <col min="13069" max="13069" width="10.140625" customWidth="1"/>
    <col min="13070" max="13070" width="14" customWidth="1"/>
    <col min="13078" max="13078" width="10" customWidth="1"/>
    <col min="13322" max="13322" width="35.42578125" customWidth="1"/>
    <col min="13323" max="13323" width="10.140625" customWidth="1"/>
    <col min="13324" max="13324" width="14" customWidth="1"/>
    <col min="13325" max="13325" width="10.140625" customWidth="1"/>
    <col min="13326" max="13326" width="14" customWidth="1"/>
    <col min="13334" max="13334" width="10" customWidth="1"/>
    <col min="13578" max="13578" width="35.42578125" customWidth="1"/>
    <col min="13579" max="13579" width="10.140625" customWidth="1"/>
    <col min="13580" max="13580" width="14" customWidth="1"/>
    <col min="13581" max="13581" width="10.140625" customWidth="1"/>
    <col min="13582" max="13582" width="14" customWidth="1"/>
    <col min="13590" max="13590" width="10" customWidth="1"/>
    <col min="13834" max="13834" width="35.42578125" customWidth="1"/>
    <col min="13835" max="13835" width="10.140625" customWidth="1"/>
    <col min="13836" max="13836" width="14" customWidth="1"/>
    <col min="13837" max="13837" width="10.140625" customWidth="1"/>
    <col min="13838" max="13838" width="14" customWidth="1"/>
    <col min="13846" max="13846" width="10" customWidth="1"/>
    <col min="14090" max="14090" width="35.42578125" customWidth="1"/>
    <col min="14091" max="14091" width="10.140625" customWidth="1"/>
    <col min="14092" max="14092" width="14" customWidth="1"/>
    <col min="14093" max="14093" width="10.140625" customWidth="1"/>
    <col min="14094" max="14094" width="14" customWidth="1"/>
    <col min="14102" max="14102" width="10" customWidth="1"/>
    <col min="14346" max="14346" width="35.42578125" customWidth="1"/>
    <col min="14347" max="14347" width="10.140625" customWidth="1"/>
    <col min="14348" max="14348" width="14" customWidth="1"/>
    <col min="14349" max="14349" width="10.140625" customWidth="1"/>
    <col min="14350" max="14350" width="14" customWidth="1"/>
    <col min="14358" max="14358" width="10" customWidth="1"/>
    <col min="14602" max="14602" width="35.42578125" customWidth="1"/>
    <col min="14603" max="14603" width="10.140625" customWidth="1"/>
    <col min="14604" max="14604" width="14" customWidth="1"/>
    <col min="14605" max="14605" width="10.140625" customWidth="1"/>
    <col min="14606" max="14606" width="14" customWidth="1"/>
    <col min="14614" max="14614" width="10" customWidth="1"/>
    <col min="14858" max="14858" width="35.42578125" customWidth="1"/>
    <col min="14859" max="14859" width="10.140625" customWidth="1"/>
    <col min="14860" max="14860" width="14" customWidth="1"/>
    <col min="14861" max="14861" width="10.140625" customWidth="1"/>
    <col min="14862" max="14862" width="14" customWidth="1"/>
    <col min="14870" max="14870" width="10" customWidth="1"/>
    <col min="15114" max="15114" width="35.42578125" customWidth="1"/>
    <col min="15115" max="15115" width="10.140625" customWidth="1"/>
    <col min="15116" max="15116" width="14" customWidth="1"/>
    <col min="15117" max="15117" width="10.140625" customWidth="1"/>
    <col min="15118" max="15118" width="14" customWidth="1"/>
    <col min="15126" max="15126" width="10" customWidth="1"/>
    <col min="15370" max="15370" width="35.42578125" customWidth="1"/>
    <col min="15371" max="15371" width="10.140625" customWidth="1"/>
    <col min="15372" max="15372" width="14" customWidth="1"/>
    <col min="15373" max="15373" width="10.140625" customWidth="1"/>
    <col min="15374" max="15374" width="14" customWidth="1"/>
    <col min="15382" max="15382" width="10" customWidth="1"/>
    <col min="15626" max="15626" width="35.42578125" customWidth="1"/>
    <col min="15627" max="15627" width="10.140625" customWidth="1"/>
    <col min="15628" max="15628" width="14" customWidth="1"/>
    <col min="15629" max="15629" width="10.140625" customWidth="1"/>
    <col min="15630" max="15630" width="14" customWidth="1"/>
    <col min="15638" max="15638" width="10" customWidth="1"/>
    <col min="15882" max="15882" width="35.42578125" customWidth="1"/>
    <col min="15883" max="15883" width="10.140625" customWidth="1"/>
    <col min="15884" max="15884" width="14" customWidth="1"/>
    <col min="15885" max="15885" width="10.140625" customWidth="1"/>
    <col min="15886" max="15886" width="14" customWidth="1"/>
    <col min="15894" max="15894" width="10" customWidth="1"/>
    <col min="16138" max="16138" width="35.42578125" customWidth="1"/>
    <col min="16139" max="16139" width="10.140625" customWidth="1"/>
    <col min="16140" max="16140" width="14" customWidth="1"/>
    <col min="16141" max="16141" width="10.140625" customWidth="1"/>
    <col min="16142" max="16142" width="14" customWidth="1"/>
    <col min="16150" max="16150" width="10" customWidth="1"/>
  </cols>
  <sheetData>
    <row r="1" spans="1:22" ht="15.75">
      <c r="B1" s="40" t="s">
        <v>320</v>
      </c>
      <c r="C1" s="40"/>
    </row>
    <row r="2" spans="1:22" ht="15.75">
      <c r="B2" s="40" t="s">
        <v>58</v>
      </c>
      <c r="C2" s="40"/>
    </row>
    <row r="3" spans="1:22">
      <c r="B3" s="41" t="s">
        <v>16</v>
      </c>
      <c r="C3" s="41"/>
      <c r="E3" s="2" t="s">
        <v>59</v>
      </c>
      <c r="U3" s="2"/>
      <c r="V3" s="2" t="s">
        <v>92</v>
      </c>
    </row>
    <row r="4" spans="1:22">
      <c r="B4" s="106"/>
      <c r="C4" s="106"/>
    </row>
    <row r="5" spans="1:22">
      <c r="A5" s="2" t="s">
        <v>11</v>
      </c>
      <c r="B5" s="106"/>
      <c r="C5" s="106"/>
    </row>
    <row r="6" spans="1:22">
      <c r="A6" t="s">
        <v>0</v>
      </c>
      <c r="B6" s="46">
        <f>'Disability $ details 05-06'!B6*0.037</f>
        <v>19.98</v>
      </c>
      <c r="C6" s="46"/>
      <c r="D6" s="22" t="s">
        <v>217</v>
      </c>
      <c r="E6" t="s">
        <v>354</v>
      </c>
      <c r="V6" s="38" t="s">
        <v>344</v>
      </c>
    </row>
    <row r="7" spans="1:22">
      <c r="A7" t="s">
        <v>1</v>
      </c>
      <c r="B7" s="46">
        <f>'Disability $ details 05-06'!B7*0.036</f>
        <v>31.499999999999996</v>
      </c>
      <c r="C7" s="46"/>
      <c r="D7" s="22" t="s">
        <v>217</v>
      </c>
      <c r="E7" t="s">
        <v>218</v>
      </c>
      <c r="O7" t="s">
        <v>93</v>
      </c>
    </row>
    <row r="8" spans="1:22">
      <c r="A8" t="s">
        <v>14</v>
      </c>
      <c r="B8" s="46">
        <f>'Disability $ details 05-06'!B8*0.036</f>
        <v>3.0599999999999996</v>
      </c>
      <c r="C8" s="46"/>
      <c r="D8" s="22" t="s">
        <v>217</v>
      </c>
      <c r="E8" t="s">
        <v>459</v>
      </c>
    </row>
    <row r="9" spans="1:22">
      <c r="A9" t="s">
        <v>2</v>
      </c>
      <c r="B9" s="46">
        <f>'Disability $ details 05-06'!B9*0.036</f>
        <v>0.18</v>
      </c>
      <c r="C9" s="46"/>
      <c r="D9" s="22" t="s">
        <v>217</v>
      </c>
    </row>
    <row r="10" spans="1:22">
      <c r="A10" t="s">
        <v>68</v>
      </c>
      <c r="B10" s="46">
        <f>'Disability $ details 05-06'!B10*0.036</f>
        <v>0</v>
      </c>
      <c r="C10" s="46"/>
      <c r="D10" s="22" t="s">
        <v>217</v>
      </c>
    </row>
    <row r="11" spans="1:22">
      <c r="A11" t="s">
        <v>3</v>
      </c>
      <c r="B11" s="46">
        <f>'Disability $ details 05-06'!B11*0.036</f>
        <v>4.1399999999999997</v>
      </c>
      <c r="C11" s="46"/>
      <c r="D11" s="22" t="s">
        <v>217</v>
      </c>
    </row>
    <row r="12" spans="1:22">
      <c r="A12" t="s">
        <v>15</v>
      </c>
      <c r="B12" s="46">
        <f>'Disability $ details 05-06'!B12*0.036</f>
        <v>3.2399999999999998</v>
      </c>
      <c r="C12" s="46"/>
      <c r="D12" s="22" t="s">
        <v>217</v>
      </c>
      <c r="U12" s="7"/>
    </row>
    <row r="13" spans="1:22">
      <c r="A13" s="3" t="s">
        <v>24</v>
      </c>
      <c r="B13" s="104">
        <f>SUM(B6:B12)</f>
        <v>62.1</v>
      </c>
      <c r="C13" s="104"/>
      <c r="D13" s="22" t="s">
        <v>217</v>
      </c>
      <c r="U13" s="7"/>
    </row>
    <row r="14" spans="1:22">
      <c r="B14" s="46"/>
      <c r="C14" s="46"/>
      <c r="D14" s="22"/>
      <c r="U14" s="7"/>
    </row>
    <row r="15" spans="1:22">
      <c r="A15" s="2" t="s">
        <v>4</v>
      </c>
      <c r="B15" s="46"/>
      <c r="C15" s="46"/>
      <c r="D15" s="22"/>
      <c r="U15" s="7"/>
    </row>
    <row r="16" spans="1:22">
      <c r="A16" t="s">
        <v>5</v>
      </c>
      <c r="B16" s="46">
        <v>110.6</v>
      </c>
      <c r="C16" s="46"/>
      <c r="D16" s="22"/>
      <c r="E16" t="s">
        <v>321</v>
      </c>
      <c r="U16" s="7"/>
      <c r="V16" t="s">
        <v>220</v>
      </c>
    </row>
    <row r="17" spans="1:22">
      <c r="A17" t="s">
        <v>69</v>
      </c>
      <c r="B17" s="105" t="s">
        <v>322</v>
      </c>
      <c r="C17" s="105"/>
      <c r="D17" s="22"/>
      <c r="U17" s="7"/>
    </row>
    <row r="18" spans="1:22">
      <c r="A18" t="s">
        <v>6</v>
      </c>
      <c r="B18" s="46">
        <v>27.9</v>
      </c>
      <c r="C18" s="46"/>
      <c r="D18" s="22"/>
      <c r="E18" t="s">
        <v>316</v>
      </c>
      <c r="U18" s="7"/>
      <c r="V18" t="s">
        <v>72</v>
      </c>
    </row>
    <row r="19" spans="1:22">
      <c r="A19" s="3" t="s">
        <v>24</v>
      </c>
      <c r="B19" s="104">
        <f>SUM(B16:B18)</f>
        <v>138.5</v>
      </c>
      <c r="C19" s="104"/>
      <c r="D19" s="22"/>
      <c r="U19" s="7"/>
    </row>
    <row r="20" spans="1:22">
      <c r="B20" s="46"/>
      <c r="C20" s="46"/>
      <c r="D20" s="22"/>
      <c r="U20" s="7"/>
    </row>
    <row r="21" spans="1:22">
      <c r="A21" t="s">
        <v>101</v>
      </c>
      <c r="B21" s="46">
        <f>0.049*'Disability $ details 05-06'!B22</f>
        <v>81.144000000000005</v>
      </c>
      <c r="C21" s="46"/>
      <c r="D21" s="22"/>
      <c r="E21" t="s">
        <v>329</v>
      </c>
      <c r="U21" s="7"/>
      <c r="V21" t="s">
        <v>102</v>
      </c>
    </row>
    <row r="22" spans="1:22">
      <c r="A22" s="3" t="s">
        <v>221</v>
      </c>
      <c r="B22" s="104">
        <f>SUM(B21)</f>
        <v>81.144000000000005</v>
      </c>
      <c r="C22" s="104"/>
      <c r="D22" s="22"/>
      <c r="E22" t="s">
        <v>323</v>
      </c>
      <c r="U22" s="7"/>
      <c r="V22" t="s">
        <v>103</v>
      </c>
    </row>
    <row r="23" spans="1:22">
      <c r="A23" s="3"/>
      <c r="B23" s="104"/>
      <c r="C23" s="104"/>
      <c r="D23" s="22"/>
      <c r="U23" s="7"/>
    </row>
    <row r="24" spans="1:22">
      <c r="A24" s="2" t="s">
        <v>334</v>
      </c>
      <c r="B24" s="46"/>
      <c r="C24" s="46"/>
      <c r="D24" s="22"/>
      <c r="P24" s="9"/>
      <c r="U24" s="7"/>
    </row>
    <row r="25" spans="1:22">
      <c r="A25" s="103" t="s">
        <v>338</v>
      </c>
      <c r="B25" s="46">
        <f>'SA by provi 05-06'!B20+'SA by provi 05-06'!B21</f>
        <v>155.9</v>
      </c>
      <c r="C25" s="46"/>
      <c r="D25" s="8"/>
      <c r="E25" s="75" t="s">
        <v>357</v>
      </c>
      <c r="U25" s="7"/>
      <c r="V25" s="38"/>
    </row>
    <row r="26" spans="1:22">
      <c r="A26" s="103" t="s">
        <v>12</v>
      </c>
      <c r="B26" s="46">
        <f>137.7*0.55</f>
        <v>75.734999999999999</v>
      </c>
      <c r="C26" s="46" t="s">
        <v>237</v>
      </c>
      <c r="D26" s="247"/>
      <c r="E26" s="39" t="s">
        <v>656</v>
      </c>
      <c r="F26" s="39"/>
      <c r="G26" s="39"/>
      <c r="H26" s="39"/>
      <c r="I26" s="39"/>
      <c r="J26" s="39"/>
      <c r="K26" s="39"/>
      <c r="L26" s="39"/>
      <c r="M26" s="39"/>
      <c r="U26" s="7"/>
    </row>
    <row r="27" spans="1:22">
      <c r="A27" s="3" t="s">
        <v>24</v>
      </c>
      <c r="B27" s="104">
        <f>SUM(B25:B26)</f>
        <v>231.63499999999999</v>
      </c>
      <c r="C27" s="104" t="s">
        <v>237</v>
      </c>
      <c r="D27" s="247"/>
      <c r="E27" s="39"/>
      <c r="F27" s="39"/>
      <c r="G27" s="39"/>
      <c r="H27" s="39"/>
      <c r="I27" s="39"/>
      <c r="J27" s="39"/>
      <c r="K27" s="39"/>
      <c r="L27" s="39"/>
      <c r="M27" s="39"/>
      <c r="U27" s="7"/>
    </row>
    <row r="28" spans="1:22">
      <c r="A28" s="3"/>
      <c r="B28" s="46"/>
      <c r="C28" s="46"/>
      <c r="D28" s="22"/>
      <c r="U28" s="7"/>
    </row>
    <row r="29" spans="1:22">
      <c r="A29" t="s">
        <v>7</v>
      </c>
      <c r="B29" s="46">
        <v>95.6</v>
      </c>
      <c r="C29" s="46"/>
      <c r="D29" s="22">
        <v>2005</v>
      </c>
      <c r="E29" t="s">
        <v>336</v>
      </c>
      <c r="U29" s="7"/>
      <c r="V29" t="s">
        <v>324</v>
      </c>
    </row>
    <row r="30" spans="1:22">
      <c r="A30" t="s">
        <v>8</v>
      </c>
      <c r="B30" s="46"/>
      <c r="C30" s="46"/>
      <c r="D30" s="22"/>
      <c r="E30" t="s">
        <v>337</v>
      </c>
      <c r="U30" s="7"/>
    </row>
    <row r="31" spans="1:22">
      <c r="A31" s="3" t="s">
        <v>24</v>
      </c>
      <c r="B31" s="104">
        <f>SUM(B29:B30)</f>
        <v>95.6</v>
      </c>
      <c r="C31" s="104"/>
      <c r="D31" s="22"/>
      <c r="U31" s="7"/>
    </row>
    <row r="32" spans="1:22">
      <c r="A32" s="3"/>
      <c r="B32" s="104"/>
      <c r="C32" s="104"/>
      <c r="D32" s="22"/>
      <c r="U32" s="7"/>
    </row>
    <row r="33" spans="1:22">
      <c r="A33" t="s">
        <v>64</v>
      </c>
      <c r="B33" s="46"/>
      <c r="C33" s="46"/>
      <c r="D33" s="22"/>
      <c r="U33" s="7"/>
    </row>
    <row r="34" spans="1:22">
      <c r="A34" t="s">
        <v>9</v>
      </c>
      <c r="B34" s="46">
        <v>20</v>
      </c>
      <c r="C34" s="46" t="s">
        <v>237</v>
      </c>
      <c r="D34" s="22">
        <v>2005</v>
      </c>
      <c r="E34" t="s">
        <v>61</v>
      </c>
      <c r="U34" s="7"/>
      <c r="V34" t="s">
        <v>75</v>
      </c>
    </row>
    <row r="35" spans="1:22">
      <c r="A35" t="s">
        <v>10</v>
      </c>
      <c r="B35" s="46">
        <v>97</v>
      </c>
      <c r="C35" s="46" t="s">
        <v>237</v>
      </c>
      <c r="D35" s="22"/>
      <c r="U35" s="7"/>
      <c r="V35" t="s">
        <v>378</v>
      </c>
    </row>
    <row r="36" spans="1:22">
      <c r="A36" s="3" t="s">
        <v>24</v>
      </c>
      <c r="B36" s="104">
        <f>SUM(B34:B35)</f>
        <v>117</v>
      </c>
      <c r="C36" s="104" t="s">
        <v>237</v>
      </c>
      <c r="D36" s="22"/>
      <c r="U36" s="7"/>
    </row>
    <row r="37" spans="1:22">
      <c r="B37" s="104"/>
      <c r="C37" s="104"/>
      <c r="D37" s="22"/>
      <c r="U37" s="7"/>
    </row>
    <row r="38" spans="1:22" ht="15.75">
      <c r="A38" s="48" t="s">
        <v>23</v>
      </c>
      <c r="B38" s="49">
        <f>B13+B19+B22+B27+B31+B36</f>
        <v>725.97900000000004</v>
      </c>
      <c r="C38" s="49" t="s">
        <v>237</v>
      </c>
      <c r="D38" s="247"/>
      <c r="E38" s="39"/>
    </row>
    <row r="39" spans="1:22" ht="15.75">
      <c r="A39" s="48"/>
      <c r="B39" s="49"/>
      <c r="C39" s="49"/>
      <c r="D39" s="39"/>
      <c r="E39" s="39"/>
    </row>
    <row r="40" spans="1:22" ht="15">
      <c r="A40" s="106" t="s">
        <v>673</v>
      </c>
      <c r="B40" s="271"/>
      <c r="C40" s="271"/>
      <c r="D40" s="106"/>
      <c r="E40" s="106"/>
      <c r="F40" s="52"/>
      <c r="G40" s="52"/>
    </row>
    <row r="41" spans="1:22" ht="15.75">
      <c r="A41" s="4"/>
    </row>
    <row r="42" spans="1:22" ht="15.75">
      <c r="B42" s="40" t="s">
        <v>320</v>
      </c>
      <c r="C42" s="40"/>
    </row>
    <row r="43" spans="1:22" ht="15.75">
      <c r="B43" s="40" t="s">
        <v>181</v>
      </c>
      <c r="C43" s="40"/>
    </row>
    <row r="44" spans="1:22">
      <c r="B44" s="41" t="s">
        <v>16</v>
      </c>
      <c r="C44" s="41"/>
    </row>
    <row r="45" spans="1:22">
      <c r="A45" s="2"/>
      <c r="B45" s="106"/>
      <c r="C45" s="106"/>
    </row>
    <row r="46" spans="1:22">
      <c r="B46" s="106"/>
      <c r="C46" s="106"/>
    </row>
    <row r="47" spans="1:22">
      <c r="A47" s="2" t="s">
        <v>11</v>
      </c>
      <c r="B47" s="46">
        <f>0.036*'CAN Disability details 09-10'!B6</f>
        <v>22.319999999999997</v>
      </c>
      <c r="C47" s="46"/>
      <c r="D47" s="22" t="s">
        <v>217</v>
      </c>
      <c r="E47" t="s">
        <v>811</v>
      </c>
      <c r="V47" s="38" t="s">
        <v>810</v>
      </c>
    </row>
    <row r="48" spans="1:22">
      <c r="A48" t="s">
        <v>0</v>
      </c>
      <c r="B48" s="46">
        <f>0.036*'CAN Disability details 09-10'!B7</f>
        <v>36</v>
      </c>
      <c r="C48" s="46"/>
      <c r="D48" s="22" t="s">
        <v>217</v>
      </c>
      <c r="E48" t="s">
        <v>218</v>
      </c>
    </row>
    <row r="49" spans="1:30">
      <c r="A49" t="s">
        <v>1</v>
      </c>
      <c r="B49" s="46">
        <f>0.036*'CAN Disability details 09-10'!B8</f>
        <v>3.4919999999999995</v>
      </c>
      <c r="C49" s="46"/>
      <c r="D49" s="22" t="s">
        <v>217</v>
      </c>
      <c r="E49" t="s">
        <v>362</v>
      </c>
    </row>
    <row r="50" spans="1:30">
      <c r="A50" t="s">
        <v>14</v>
      </c>
      <c r="B50" s="46">
        <f>0.036*'CAN Disability details 09-10'!B9</f>
        <v>0.18</v>
      </c>
      <c r="C50" s="46"/>
      <c r="D50" s="22" t="s">
        <v>217</v>
      </c>
      <c r="E50" s="7"/>
    </row>
    <row r="51" spans="1:30">
      <c r="A51" t="s">
        <v>2</v>
      </c>
      <c r="B51" s="46">
        <f>0.036*'CAN Disability details 09-10'!B10</f>
        <v>0</v>
      </c>
      <c r="C51" s="46"/>
      <c r="D51" s="22" t="s">
        <v>217</v>
      </c>
      <c r="E51" s="7"/>
    </row>
    <row r="52" spans="1:30">
      <c r="A52" t="s">
        <v>68</v>
      </c>
      <c r="B52" s="46">
        <f>0.036*'CAN Disability details 09-10'!B11</f>
        <v>4.68</v>
      </c>
      <c r="C52" s="46"/>
      <c r="D52" s="22" t="s">
        <v>217</v>
      </c>
      <c r="E52" s="7"/>
    </row>
    <row r="53" spans="1:30">
      <c r="A53" t="s">
        <v>3</v>
      </c>
      <c r="B53" s="46">
        <f>0.036*'CAN Disability details 09-10'!B12</f>
        <v>7.0739999999999998</v>
      </c>
      <c r="C53" s="46"/>
      <c r="D53" s="22" t="s">
        <v>217</v>
      </c>
      <c r="E53" s="7"/>
    </row>
    <row r="54" spans="1:30">
      <c r="A54" t="s">
        <v>15</v>
      </c>
      <c r="B54" s="104">
        <f>SUM(B47:B53)</f>
        <v>73.745999999999995</v>
      </c>
      <c r="C54" s="104"/>
      <c r="D54" s="22" t="s">
        <v>217</v>
      </c>
    </row>
    <row r="55" spans="1:30">
      <c r="A55" s="3" t="s">
        <v>24</v>
      </c>
      <c r="B55" s="46"/>
      <c r="C55" s="46"/>
      <c r="D55" s="22"/>
    </row>
    <row r="56" spans="1:30">
      <c r="B56" s="46"/>
      <c r="C56" s="46"/>
      <c r="D56" s="22"/>
    </row>
    <row r="57" spans="1:30">
      <c r="A57" s="2" t="s">
        <v>4</v>
      </c>
      <c r="B57" s="46">
        <v>132.6</v>
      </c>
      <c r="C57" s="46"/>
      <c r="D57" s="22"/>
      <c r="E57" t="s">
        <v>325</v>
      </c>
    </row>
    <row r="58" spans="1:30">
      <c r="A58" t="s">
        <v>5</v>
      </c>
      <c r="B58" s="105" t="s">
        <v>322</v>
      </c>
      <c r="C58" s="105"/>
      <c r="D58" s="22"/>
    </row>
    <row r="59" spans="1:30">
      <c r="A59" t="s">
        <v>69</v>
      </c>
      <c r="B59" s="46">
        <v>35.1</v>
      </c>
      <c r="C59" s="46" t="s">
        <v>237</v>
      </c>
      <c r="D59" s="247"/>
      <c r="E59" s="39" t="s">
        <v>394</v>
      </c>
      <c r="F59" s="39"/>
      <c r="G59" s="39"/>
      <c r="H59" s="39"/>
      <c r="I59" s="39"/>
      <c r="J59" s="39"/>
      <c r="K59" s="39"/>
      <c r="L59" s="39"/>
      <c r="M59" s="39"/>
      <c r="N59" s="39"/>
      <c r="O59" s="39"/>
      <c r="P59" s="39"/>
      <c r="Q59" s="39"/>
      <c r="R59" s="39"/>
      <c r="S59" s="39"/>
      <c r="T59" s="39"/>
      <c r="U59" s="144"/>
      <c r="V59" s="145" t="s">
        <v>395</v>
      </c>
      <c r="W59" s="145"/>
      <c r="X59" s="39"/>
      <c r="Y59" s="39"/>
      <c r="Z59" s="39"/>
      <c r="AA59" s="39"/>
      <c r="AB59" s="39"/>
      <c r="AC59" s="39"/>
      <c r="AD59" s="39"/>
    </row>
    <row r="60" spans="1:30">
      <c r="A60" t="s">
        <v>6</v>
      </c>
      <c r="B60" s="104">
        <f>SUM(B57:B59)</f>
        <v>167.7</v>
      </c>
      <c r="C60" s="104"/>
      <c r="D60" s="247"/>
      <c r="E60" s="39"/>
      <c r="F60" s="39"/>
      <c r="G60" s="39"/>
      <c r="H60" s="39"/>
      <c r="I60" s="39"/>
      <c r="J60" s="39"/>
      <c r="K60" s="39"/>
      <c r="L60" s="39"/>
      <c r="M60" s="39"/>
      <c r="N60" s="39"/>
      <c r="O60" s="39"/>
      <c r="P60" s="39"/>
      <c r="Q60" s="39"/>
      <c r="R60" s="39"/>
      <c r="S60" s="39"/>
      <c r="T60" s="39"/>
      <c r="U60" s="39"/>
      <c r="V60" s="39"/>
      <c r="W60" s="39"/>
      <c r="X60" s="39"/>
      <c r="Y60" s="39"/>
      <c r="Z60" s="39"/>
      <c r="AA60" s="39"/>
      <c r="AB60" s="39"/>
    </row>
    <row r="61" spans="1:30">
      <c r="A61" s="3" t="s">
        <v>24</v>
      </c>
      <c r="B61" s="46"/>
      <c r="C61" s="46"/>
      <c r="D61" s="247"/>
      <c r="E61" s="39"/>
      <c r="F61" s="39"/>
      <c r="G61" s="39"/>
      <c r="H61" s="39"/>
      <c r="I61" s="39"/>
      <c r="J61" s="39"/>
      <c r="K61" s="39"/>
      <c r="L61" s="39"/>
      <c r="M61" s="39"/>
      <c r="N61" s="39"/>
      <c r="O61" s="39"/>
      <c r="P61" s="39"/>
      <c r="Q61" s="39"/>
      <c r="R61" s="39"/>
      <c r="S61" s="39"/>
      <c r="T61" s="39"/>
      <c r="U61" s="39"/>
      <c r="V61" s="39"/>
      <c r="W61" s="39"/>
      <c r="X61" s="39"/>
      <c r="Y61" s="39"/>
      <c r="Z61" s="39"/>
      <c r="AA61" s="39"/>
      <c r="AB61" s="39"/>
    </row>
    <row r="62" spans="1:30">
      <c r="B62" s="46">
        <f>'CAN Disability details 09-10'!B22*0.045</f>
        <v>91.358999999999995</v>
      </c>
      <c r="C62" s="46" t="s">
        <v>237</v>
      </c>
      <c r="D62" s="22"/>
      <c r="E62" t="s">
        <v>457</v>
      </c>
    </row>
    <row r="63" spans="1:30">
      <c r="A63" t="s">
        <v>478</v>
      </c>
      <c r="B63" s="104">
        <f>SUM(B62)</f>
        <v>91.358999999999995</v>
      </c>
      <c r="C63" s="104" t="s">
        <v>237</v>
      </c>
      <c r="D63" s="22"/>
      <c r="E63" t="s">
        <v>460</v>
      </c>
    </row>
    <row r="64" spans="1:30">
      <c r="A64" s="3" t="s">
        <v>221</v>
      </c>
      <c r="B64" s="104"/>
      <c r="C64" s="104"/>
      <c r="D64" s="22"/>
    </row>
    <row r="65" spans="1:23">
      <c r="A65" s="258"/>
      <c r="B65" s="46"/>
      <c r="C65" s="46"/>
      <c r="D65" s="247"/>
      <c r="E65" s="39"/>
      <c r="F65" s="39"/>
      <c r="G65" s="39"/>
      <c r="H65" s="39"/>
      <c r="I65" s="39"/>
      <c r="J65" s="39"/>
      <c r="K65" s="39"/>
      <c r="L65" s="39"/>
      <c r="M65" s="39"/>
    </row>
    <row r="66" spans="1:23">
      <c r="A66" s="50" t="s">
        <v>222</v>
      </c>
      <c r="B66" s="46">
        <f>'SA $ by prov 09-10'!B85</f>
        <v>176.9</v>
      </c>
      <c r="C66" s="46"/>
      <c r="D66" s="44"/>
      <c r="E66" s="39" t="s">
        <v>358</v>
      </c>
      <c r="F66" s="39"/>
      <c r="G66" s="39"/>
      <c r="H66" s="39"/>
      <c r="I66" s="39"/>
      <c r="J66" s="39"/>
      <c r="K66" s="39"/>
      <c r="L66" s="39"/>
      <c r="M66" s="39"/>
    </row>
    <row r="67" spans="1:23">
      <c r="A67" s="39" t="s">
        <v>17</v>
      </c>
      <c r="B67" s="46">
        <f>172.3*0.55</f>
        <v>94.765000000000015</v>
      </c>
      <c r="C67" s="46" t="s">
        <v>237</v>
      </c>
      <c r="D67" s="247"/>
      <c r="E67" s="106" t="s">
        <v>656</v>
      </c>
      <c r="F67" s="39"/>
      <c r="G67" s="39"/>
      <c r="H67" s="39"/>
      <c r="I67" s="39"/>
      <c r="J67" s="39"/>
      <c r="K67" s="39"/>
      <c r="L67" s="39"/>
      <c r="M67" s="39"/>
    </row>
    <row r="68" spans="1:23">
      <c r="A68" s="39" t="s">
        <v>12</v>
      </c>
      <c r="B68" s="104">
        <f>SUM(B66:B67)</f>
        <v>271.66500000000002</v>
      </c>
      <c r="C68" s="104" t="s">
        <v>237</v>
      </c>
      <c r="D68" s="247"/>
      <c r="E68" s="39"/>
      <c r="F68" s="39"/>
      <c r="G68" s="39"/>
      <c r="H68" s="39"/>
      <c r="I68" s="39"/>
      <c r="J68" s="39"/>
      <c r="K68" s="39"/>
      <c r="L68" s="39"/>
      <c r="M68" s="39"/>
    </row>
    <row r="69" spans="1:23">
      <c r="A69" s="115" t="s">
        <v>24</v>
      </c>
      <c r="B69" s="104"/>
      <c r="C69" s="104"/>
      <c r="D69" s="22"/>
    </row>
    <row r="70" spans="1:23">
      <c r="A70" s="3"/>
      <c r="B70" s="46"/>
      <c r="C70" s="46"/>
      <c r="D70" s="22"/>
    </row>
    <row r="71" spans="1:23">
      <c r="A71" s="2" t="s">
        <v>13</v>
      </c>
      <c r="B71" s="46">
        <v>116.7</v>
      </c>
      <c r="C71" s="46"/>
      <c r="D71" s="22">
        <v>2009</v>
      </c>
      <c r="E71" t="s">
        <v>215</v>
      </c>
      <c r="W71" s="145" t="s">
        <v>395</v>
      </c>
    </row>
    <row r="72" spans="1:23">
      <c r="A72" t="s">
        <v>7</v>
      </c>
      <c r="B72" s="46"/>
      <c r="C72" s="46"/>
      <c r="D72" s="22"/>
      <c r="E72" t="s">
        <v>167</v>
      </c>
    </row>
    <row r="73" spans="1:23">
      <c r="A73" t="s">
        <v>8</v>
      </c>
      <c r="B73" s="104">
        <f>SUM(B71:B72)</f>
        <v>116.7</v>
      </c>
      <c r="C73" s="104"/>
      <c r="D73" s="22"/>
    </row>
    <row r="74" spans="1:23">
      <c r="A74" s="3" t="s">
        <v>57</v>
      </c>
      <c r="B74" s="46"/>
      <c r="C74" s="46"/>
      <c r="D74" s="22"/>
    </row>
    <row r="75" spans="1:23">
      <c r="A75" t="s">
        <v>64</v>
      </c>
      <c r="B75" s="46">
        <v>26</v>
      </c>
      <c r="C75" s="46"/>
      <c r="D75" s="22">
        <v>2009</v>
      </c>
      <c r="E75" t="s">
        <v>207</v>
      </c>
    </row>
    <row r="76" spans="1:23">
      <c r="A76" t="s">
        <v>9</v>
      </c>
      <c r="B76" s="46">
        <v>99</v>
      </c>
      <c r="C76" s="46"/>
      <c r="D76" s="22"/>
      <c r="E76" t="s">
        <v>378</v>
      </c>
    </row>
    <row r="77" spans="1:23">
      <c r="A77" t="s">
        <v>10</v>
      </c>
      <c r="B77" s="104">
        <f>SUM(B75:B76)</f>
        <v>125</v>
      </c>
      <c r="C77" s="104"/>
      <c r="D77" s="22"/>
    </row>
    <row r="78" spans="1:23">
      <c r="A78" s="258" t="s">
        <v>24</v>
      </c>
      <c r="B78" s="104"/>
      <c r="C78" s="104"/>
      <c r="D78" s="247"/>
      <c r="E78" s="39"/>
    </row>
    <row r="79" spans="1:23" ht="15.75">
      <c r="A79" s="258"/>
      <c r="B79" s="49">
        <f>SUM(B54+B60+B63+B68+B73+N80+B77)</f>
        <v>846.17000000000007</v>
      </c>
      <c r="C79" s="49" t="s">
        <v>237</v>
      </c>
      <c r="D79" s="39"/>
      <c r="E79" s="39"/>
    </row>
    <row r="80" spans="1:23" ht="15.75">
      <c r="A80" s="48" t="s">
        <v>23</v>
      </c>
      <c r="B80" s="49"/>
      <c r="C80" s="49"/>
      <c r="D80" s="39"/>
      <c r="E80" s="39"/>
    </row>
    <row r="81" spans="1:22" ht="15.75">
      <c r="A81" s="48"/>
      <c r="B81" s="49"/>
      <c r="C81" s="49"/>
      <c r="D81" s="39"/>
      <c r="E81" s="39"/>
    </row>
    <row r="82" spans="1:22">
      <c r="A82" s="106" t="s">
        <v>673</v>
      </c>
      <c r="B82" s="39"/>
      <c r="C82" s="39"/>
      <c r="D82" s="39"/>
      <c r="E82" s="39"/>
    </row>
    <row r="83" spans="1:22">
      <c r="A83" s="106"/>
    </row>
    <row r="84" spans="1:22" ht="15.75">
      <c r="B84" s="40" t="s">
        <v>320</v>
      </c>
      <c r="C84" s="40"/>
    </row>
    <row r="85" spans="1:22" ht="15.75">
      <c r="B85" s="40" t="s">
        <v>514</v>
      </c>
      <c r="C85" s="40"/>
    </row>
    <row r="86" spans="1:22">
      <c r="B86" s="41" t="s">
        <v>16</v>
      </c>
      <c r="C86" s="41"/>
    </row>
    <row r="87" spans="1:22">
      <c r="A87" s="2"/>
      <c r="B87" s="106"/>
      <c r="C87" s="106"/>
    </row>
    <row r="88" spans="1:22">
      <c r="A88" s="2" t="s">
        <v>11</v>
      </c>
      <c r="B88" s="106"/>
      <c r="C88" s="106"/>
    </row>
    <row r="89" spans="1:22">
      <c r="A89" t="s">
        <v>0</v>
      </c>
      <c r="B89" s="143">
        <f>'CAN Disability details 10-11'!B6*0.036</f>
        <v>23.4</v>
      </c>
      <c r="C89" s="46"/>
      <c r="D89" s="22" t="s">
        <v>217</v>
      </c>
      <c r="E89" t="s">
        <v>811</v>
      </c>
      <c r="Q89" s="145"/>
      <c r="R89" s="145"/>
      <c r="S89" s="145"/>
      <c r="T89" s="145"/>
      <c r="U89" s="145"/>
      <c r="V89" s="145" t="s">
        <v>810</v>
      </c>
    </row>
    <row r="90" spans="1:22">
      <c r="A90" t="s">
        <v>1</v>
      </c>
      <c r="B90" s="143">
        <f>'CAN Disability details 10-11'!B7*0.036</f>
        <v>38.879999999999995</v>
      </c>
      <c r="C90" s="46"/>
      <c r="D90" s="22" t="s">
        <v>217</v>
      </c>
      <c r="E90" t="s">
        <v>218</v>
      </c>
    </row>
    <row r="91" spans="1:22">
      <c r="A91" t="s">
        <v>14</v>
      </c>
      <c r="B91" s="46">
        <f>'CAN Disability details 10-11'!B8*0.036</f>
        <v>3.5999999999999996</v>
      </c>
      <c r="C91" s="46"/>
      <c r="D91" s="22" t="s">
        <v>217</v>
      </c>
      <c r="E91" t="s">
        <v>362</v>
      </c>
    </row>
    <row r="92" spans="1:22">
      <c r="A92" t="s">
        <v>2</v>
      </c>
      <c r="B92" s="46">
        <f>'CAN Disability details 10-11'!B9*0.036</f>
        <v>0.18</v>
      </c>
      <c r="C92" s="46"/>
      <c r="D92" s="22" t="s">
        <v>217</v>
      </c>
      <c r="E92" s="7"/>
    </row>
    <row r="93" spans="1:22">
      <c r="A93" t="s">
        <v>68</v>
      </c>
      <c r="B93" s="46">
        <f>'CAN Disability details 10-11'!B10*0.036</f>
        <v>0</v>
      </c>
      <c r="C93" s="46"/>
      <c r="D93" s="22" t="s">
        <v>217</v>
      </c>
      <c r="E93" s="7"/>
    </row>
    <row r="94" spans="1:22">
      <c r="A94" t="s">
        <v>3</v>
      </c>
      <c r="B94" s="46">
        <f>'CAN Disability details 10-11'!B11*0.036</f>
        <v>4.8599999999999994</v>
      </c>
      <c r="C94" s="46"/>
      <c r="D94" s="22" t="s">
        <v>217</v>
      </c>
      <c r="E94" s="7"/>
    </row>
    <row r="95" spans="1:22">
      <c r="A95" t="s">
        <v>15</v>
      </c>
      <c r="B95" s="46">
        <f>'CAN Disability details 10-11'!B12*0.036</f>
        <v>7.9343999999999992</v>
      </c>
      <c r="C95" s="46"/>
      <c r="D95" s="22" t="s">
        <v>217</v>
      </c>
      <c r="E95" s="7" t="s">
        <v>580</v>
      </c>
      <c r="V95" s="38" t="s">
        <v>579</v>
      </c>
    </row>
    <row r="96" spans="1:22">
      <c r="A96" s="3" t="s">
        <v>24</v>
      </c>
      <c r="B96" s="138">
        <f>SUM(B89:B95)</f>
        <v>78.854399999999998</v>
      </c>
      <c r="C96" s="104"/>
      <c r="D96" s="22" t="s">
        <v>217</v>
      </c>
    </row>
    <row r="97" spans="1:23">
      <c r="B97" s="46"/>
      <c r="C97" s="46"/>
      <c r="D97" s="22"/>
    </row>
    <row r="98" spans="1:23">
      <c r="A98" s="2" t="s">
        <v>4</v>
      </c>
      <c r="B98" s="46"/>
      <c r="C98" s="46"/>
      <c r="D98" s="22"/>
    </row>
    <row r="99" spans="1:23">
      <c r="A99" t="s">
        <v>5</v>
      </c>
      <c r="B99" s="46">
        <v>139.6</v>
      </c>
      <c r="C99" s="46"/>
      <c r="D99" s="22"/>
      <c r="E99" t="s">
        <v>545</v>
      </c>
      <c r="V99" t="s">
        <v>613</v>
      </c>
    </row>
    <row r="100" spans="1:23">
      <c r="A100" t="s">
        <v>69</v>
      </c>
      <c r="B100" s="105" t="s">
        <v>322</v>
      </c>
      <c r="C100" s="105"/>
      <c r="D100" s="22"/>
    </row>
    <row r="101" spans="1:23">
      <c r="A101" t="s">
        <v>6</v>
      </c>
      <c r="B101" s="114">
        <v>33</v>
      </c>
      <c r="C101" s="114"/>
      <c r="D101" s="22"/>
      <c r="E101" s="103" t="s">
        <v>543</v>
      </c>
      <c r="F101" s="103"/>
      <c r="G101" s="103"/>
      <c r="H101" s="103"/>
      <c r="I101" s="103"/>
      <c r="J101" s="103"/>
      <c r="K101" s="103"/>
      <c r="L101" s="103"/>
      <c r="M101" s="103"/>
      <c r="N101" s="103"/>
      <c r="O101" s="103"/>
      <c r="P101" s="103"/>
      <c r="Q101" s="103"/>
      <c r="R101" s="103"/>
      <c r="S101" s="103"/>
      <c r="T101" s="103"/>
      <c r="U101" s="111"/>
      <c r="V101" s="110" t="s">
        <v>519</v>
      </c>
      <c r="W101" s="110"/>
    </row>
    <row r="102" spans="1:23">
      <c r="A102" s="3" t="s">
        <v>24</v>
      </c>
      <c r="B102" s="112">
        <f>SUM(B99:B101)</f>
        <v>172.6</v>
      </c>
      <c r="C102" s="112"/>
      <c r="D102" s="22"/>
    </row>
    <row r="103" spans="1:23">
      <c r="B103" s="46"/>
      <c r="C103" s="46"/>
      <c r="D103" s="22"/>
    </row>
    <row r="104" spans="1:23">
      <c r="A104" t="s">
        <v>478</v>
      </c>
      <c r="B104" s="46">
        <f>76.4+16.2</f>
        <v>92.600000000000009</v>
      </c>
      <c r="C104" s="46" t="s">
        <v>237</v>
      </c>
      <c r="D104" s="22"/>
      <c r="E104" s="52" t="s">
        <v>98</v>
      </c>
      <c r="V104" s="52" t="s">
        <v>713</v>
      </c>
    </row>
    <row r="105" spans="1:23">
      <c r="A105" s="3" t="s">
        <v>221</v>
      </c>
      <c r="B105" s="104">
        <f>SUM(B104)</f>
        <v>92.600000000000009</v>
      </c>
      <c r="C105" s="104" t="s">
        <v>237</v>
      </c>
      <c r="D105" s="22"/>
    </row>
    <row r="106" spans="1:23">
      <c r="B106" s="104"/>
      <c r="C106" s="104"/>
      <c r="D106" s="22"/>
    </row>
    <row r="107" spans="1:23">
      <c r="A107" s="2" t="s">
        <v>222</v>
      </c>
      <c r="B107" s="46"/>
      <c r="C107" s="46"/>
      <c r="D107" s="22"/>
    </row>
    <row r="108" spans="1:23">
      <c r="A108" s="103" t="s">
        <v>17</v>
      </c>
      <c r="B108" s="46">
        <f>'SA $ by prov 10-11'!B86</f>
        <v>187.8</v>
      </c>
      <c r="C108" s="46"/>
      <c r="D108" s="8"/>
      <c r="E108" t="s">
        <v>546</v>
      </c>
    </row>
    <row r="109" spans="1:23">
      <c r="A109" s="103" t="s">
        <v>12</v>
      </c>
      <c r="B109" s="143">
        <f>180*0.55</f>
        <v>99.000000000000014</v>
      </c>
      <c r="C109" s="143" t="s">
        <v>237</v>
      </c>
      <c r="D109" s="22"/>
      <c r="E109" s="278" t="s">
        <v>801</v>
      </c>
      <c r="V109" s="52" t="s">
        <v>789</v>
      </c>
    </row>
    <row r="110" spans="1:23">
      <c r="A110" s="115" t="s">
        <v>24</v>
      </c>
      <c r="B110" s="104">
        <f>SUM(B108:B109)</f>
        <v>286.8</v>
      </c>
      <c r="C110" s="104" t="s">
        <v>237</v>
      </c>
      <c r="D110" s="22"/>
    </row>
    <row r="111" spans="1:23">
      <c r="B111" s="104"/>
      <c r="C111" s="104"/>
      <c r="D111" s="22"/>
    </row>
    <row r="112" spans="1:23">
      <c r="A112" s="2" t="s">
        <v>13</v>
      </c>
      <c r="B112" s="46"/>
      <c r="C112" s="46"/>
      <c r="D112" s="22"/>
    </row>
    <row r="113" spans="1:25">
      <c r="A113" t="s">
        <v>7</v>
      </c>
      <c r="B113" s="46">
        <v>110.6</v>
      </c>
      <c r="C113" s="46"/>
      <c r="D113" s="22">
        <v>2010</v>
      </c>
      <c r="E113" t="s">
        <v>547</v>
      </c>
      <c r="V113" s="110" t="s">
        <v>205</v>
      </c>
    </row>
    <row r="114" spans="1:25">
      <c r="A114" t="s">
        <v>8</v>
      </c>
      <c r="B114" s="46"/>
      <c r="C114" s="46"/>
      <c r="D114" s="22"/>
      <c r="E114" t="s">
        <v>167</v>
      </c>
    </row>
    <row r="115" spans="1:25">
      <c r="A115" s="3" t="s">
        <v>57</v>
      </c>
      <c r="B115" s="104">
        <f>SUM(B113:B114)</f>
        <v>110.6</v>
      </c>
      <c r="C115" s="104"/>
      <c r="D115" s="22"/>
    </row>
    <row r="116" spans="1:25">
      <c r="A116" t="s">
        <v>64</v>
      </c>
      <c r="B116" s="46"/>
      <c r="C116" s="46"/>
      <c r="D116" s="22"/>
    </row>
    <row r="117" spans="1:25">
      <c r="A117" t="s">
        <v>9</v>
      </c>
      <c r="B117" s="46">
        <v>26</v>
      </c>
      <c r="C117" s="46"/>
      <c r="D117" s="22">
        <v>2010</v>
      </c>
      <c r="E117" t="s">
        <v>548</v>
      </c>
      <c r="V117" t="s">
        <v>75</v>
      </c>
    </row>
    <row r="118" spans="1:25">
      <c r="A118" t="s">
        <v>10</v>
      </c>
      <c r="B118" s="46">
        <v>107</v>
      </c>
      <c r="C118" s="46"/>
      <c r="D118" s="22"/>
      <c r="E118" t="s">
        <v>378</v>
      </c>
    </row>
    <row r="119" spans="1:25">
      <c r="A119" s="3" t="s">
        <v>24</v>
      </c>
      <c r="B119" s="104">
        <f>SUM(B117:B118)</f>
        <v>133</v>
      </c>
      <c r="C119" s="104"/>
      <c r="D119" s="22"/>
    </row>
    <row r="120" spans="1:25">
      <c r="A120" s="3"/>
      <c r="B120" s="104"/>
      <c r="C120" s="104"/>
      <c r="D120" s="22"/>
    </row>
    <row r="121" spans="1:25" ht="15.75">
      <c r="A121" s="48" t="s">
        <v>23</v>
      </c>
      <c r="B121" s="139">
        <f>SUM(B96+B102+B105+B110+B115+N123+B119)</f>
        <v>874.45439999999996</v>
      </c>
      <c r="C121" s="139" t="s">
        <v>237</v>
      </c>
      <c r="D121" s="39"/>
      <c r="E121" s="39"/>
    </row>
    <row r="122" spans="1:25" ht="15.75">
      <c r="A122" s="39"/>
      <c r="B122" s="49"/>
      <c r="C122" s="49"/>
      <c r="D122" s="39"/>
      <c r="E122" s="39"/>
    </row>
    <row r="123" spans="1:25">
      <c r="A123" s="106" t="s">
        <v>673</v>
      </c>
      <c r="B123" s="39"/>
      <c r="C123" s="39"/>
      <c r="D123" s="39"/>
      <c r="E123" s="39"/>
    </row>
    <row r="124" spans="1:25">
      <c r="A124" s="106"/>
    </row>
    <row r="125" spans="1:25" ht="15.75">
      <c r="B125" s="40" t="s">
        <v>320</v>
      </c>
      <c r="C125" s="40"/>
      <c r="W125" s="39"/>
      <c r="X125" s="39"/>
      <c r="Y125" s="39"/>
    </row>
    <row r="126" spans="1:25" ht="15.75">
      <c r="B126" s="40" t="s">
        <v>689</v>
      </c>
      <c r="C126" s="40"/>
      <c r="W126" s="39"/>
      <c r="X126" s="39"/>
      <c r="Y126" s="39"/>
    </row>
    <row r="127" spans="1:25">
      <c r="B127" s="41" t="s">
        <v>16</v>
      </c>
      <c r="C127" s="41"/>
      <c r="W127" s="39"/>
      <c r="X127" s="39"/>
      <c r="Y127" s="39"/>
    </row>
    <row r="128" spans="1:25">
      <c r="A128" s="2"/>
      <c r="B128" s="106"/>
      <c r="C128" s="106"/>
      <c r="W128" s="39"/>
      <c r="X128" s="39"/>
      <c r="Y128" s="39"/>
    </row>
    <row r="129" spans="1:25">
      <c r="A129" s="2" t="s">
        <v>11</v>
      </c>
      <c r="B129" s="106"/>
      <c r="C129" s="106"/>
      <c r="W129" s="39"/>
      <c r="X129" s="39"/>
      <c r="Y129" s="39"/>
    </row>
    <row r="130" spans="1:25">
      <c r="A130" t="s">
        <v>0</v>
      </c>
      <c r="B130" s="143">
        <f>'CAN Disability details 11-12'!B6*0.036</f>
        <v>24.299999999999997</v>
      </c>
      <c r="C130" s="46"/>
      <c r="D130" s="242" t="s">
        <v>217</v>
      </c>
      <c r="E130" t="s">
        <v>811</v>
      </c>
      <c r="Q130" s="145"/>
      <c r="R130" s="145"/>
      <c r="S130" s="145"/>
      <c r="T130" s="145"/>
      <c r="U130" s="145"/>
      <c r="V130" s="145" t="s">
        <v>810</v>
      </c>
      <c r="W130" s="39"/>
      <c r="X130" s="39"/>
      <c r="Y130" s="39"/>
    </row>
    <row r="131" spans="1:25">
      <c r="A131" t="s">
        <v>1</v>
      </c>
      <c r="B131" s="143">
        <f>'CAN Disability details 11-12'!B7*0.036</f>
        <v>40.86</v>
      </c>
      <c r="C131" s="46"/>
      <c r="D131" s="242" t="s">
        <v>217</v>
      </c>
      <c r="E131" t="s">
        <v>218</v>
      </c>
      <c r="Q131" s="39"/>
      <c r="R131" s="39"/>
      <c r="S131" s="39"/>
      <c r="T131" s="39"/>
      <c r="U131" s="39"/>
      <c r="V131" s="39" t="s">
        <v>752</v>
      </c>
      <c r="W131" s="39"/>
      <c r="X131" s="39"/>
      <c r="Y131" s="39"/>
    </row>
    <row r="132" spans="1:25">
      <c r="A132" t="s">
        <v>14</v>
      </c>
      <c r="B132" s="46">
        <f>'CAN Disability details 11-12'!B8*0.036</f>
        <v>3.78</v>
      </c>
      <c r="C132" s="46"/>
      <c r="D132" s="242" t="s">
        <v>217</v>
      </c>
      <c r="E132" s="52" t="s">
        <v>767</v>
      </c>
      <c r="Q132" s="39"/>
      <c r="R132" s="39"/>
      <c r="S132" s="39"/>
      <c r="T132" s="39"/>
      <c r="U132" s="39"/>
      <c r="V132" s="39"/>
      <c r="W132" s="39"/>
      <c r="X132" s="39"/>
      <c r="Y132" s="39"/>
    </row>
    <row r="133" spans="1:25">
      <c r="A133" t="s">
        <v>2</v>
      </c>
      <c r="B133" s="46">
        <f>'CAN Disability details 11-12'!B9*0.036</f>
        <v>0.18</v>
      </c>
      <c r="C133" s="46"/>
      <c r="D133" s="242" t="s">
        <v>217</v>
      </c>
      <c r="Q133" s="39"/>
      <c r="R133" s="39"/>
      <c r="S133" s="39"/>
      <c r="T133" s="39"/>
      <c r="U133" s="39"/>
      <c r="V133" s="39"/>
      <c r="W133" s="39"/>
      <c r="X133" s="39"/>
      <c r="Y133" s="39"/>
    </row>
    <row r="134" spans="1:25">
      <c r="A134" t="s">
        <v>68</v>
      </c>
      <c r="B134" s="46">
        <f>'CAN Disability details 11-12'!B10*0.036</f>
        <v>0</v>
      </c>
      <c r="C134" s="46"/>
      <c r="D134" s="242" t="s">
        <v>217</v>
      </c>
      <c r="Q134" s="39"/>
      <c r="R134" s="39"/>
      <c r="S134" s="39"/>
      <c r="T134" s="39"/>
      <c r="U134" s="39"/>
      <c r="V134" s="39"/>
      <c r="W134" s="39"/>
      <c r="X134" s="39"/>
      <c r="Y134" s="39"/>
    </row>
    <row r="135" spans="1:25">
      <c r="A135" t="s">
        <v>3</v>
      </c>
      <c r="B135" s="143">
        <f>'CAN Disability details 11-12'!B11*0.036</f>
        <v>4.8599999999999994</v>
      </c>
      <c r="C135" s="46"/>
      <c r="D135" s="242" t="s">
        <v>217</v>
      </c>
      <c r="Q135" s="39"/>
      <c r="R135" s="39"/>
      <c r="S135" s="39"/>
      <c r="T135" s="39"/>
      <c r="U135" s="39"/>
      <c r="V135" s="39"/>
      <c r="W135" s="39"/>
      <c r="X135" s="39"/>
      <c r="Y135" s="39"/>
    </row>
    <row r="136" spans="1:25">
      <c r="A136" t="s">
        <v>15</v>
      </c>
      <c r="B136" s="143">
        <f>'CAN Disability details 11-12'!B12*0.036</f>
        <v>9.1245599999999989</v>
      </c>
      <c r="C136" s="46"/>
      <c r="D136" s="242" t="s">
        <v>217</v>
      </c>
      <c r="E136" s="248" t="s">
        <v>812</v>
      </c>
      <c r="F136" s="249"/>
      <c r="G136" s="249"/>
      <c r="H136" s="249"/>
      <c r="I136" s="30"/>
      <c r="J136" s="30"/>
      <c r="K136" s="30"/>
      <c r="L136" s="30"/>
      <c r="M136" s="30"/>
      <c r="N136" s="30"/>
      <c r="O136" s="30"/>
      <c r="P136" s="171"/>
      <c r="Q136" s="145"/>
      <c r="R136" s="145"/>
      <c r="S136" s="145"/>
      <c r="T136" s="145"/>
      <c r="U136" s="145"/>
      <c r="V136" s="145"/>
      <c r="W136" s="39"/>
      <c r="X136" s="39"/>
      <c r="Y136" s="39"/>
    </row>
    <row r="137" spans="1:25">
      <c r="A137" s="3" t="s">
        <v>24</v>
      </c>
      <c r="B137" s="138">
        <f>SUM(B130:B136)</f>
        <v>83.104560000000006</v>
      </c>
      <c r="C137" s="104"/>
      <c r="D137" s="242" t="s">
        <v>217</v>
      </c>
      <c r="E137" s="6"/>
      <c r="P137" s="111"/>
      <c r="Q137" s="39"/>
      <c r="R137" s="39"/>
      <c r="S137" s="39"/>
      <c r="T137" s="39"/>
      <c r="U137" s="39"/>
      <c r="V137" s="39"/>
      <c r="W137" s="39"/>
      <c r="X137" s="39"/>
      <c r="Y137" s="39"/>
    </row>
    <row r="138" spans="1:25">
      <c r="B138" s="46"/>
      <c r="C138" s="46"/>
      <c r="D138" s="242"/>
      <c r="P138" s="29"/>
      <c r="Q138" s="39"/>
      <c r="R138" s="39"/>
      <c r="S138" s="39"/>
      <c r="T138" s="39"/>
      <c r="U138" s="39"/>
      <c r="V138" s="39"/>
      <c r="W138" s="39"/>
      <c r="X138" s="39"/>
      <c r="Y138" s="39"/>
    </row>
    <row r="139" spans="1:25">
      <c r="A139" s="2" t="s">
        <v>4</v>
      </c>
      <c r="B139" s="46"/>
      <c r="C139" s="46"/>
      <c r="D139" s="242"/>
      <c r="P139" s="29"/>
      <c r="Q139" s="39"/>
      <c r="R139" s="39"/>
      <c r="S139" s="39"/>
      <c r="T139" s="39"/>
      <c r="U139" s="39"/>
      <c r="V139" s="39"/>
      <c r="W139" s="39"/>
      <c r="X139" s="39"/>
      <c r="Y139" s="39"/>
    </row>
    <row r="140" spans="1:25">
      <c r="A140" t="s">
        <v>5</v>
      </c>
      <c r="B140" s="46">
        <v>149.19999999999999</v>
      </c>
      <c r="C140" s="46"/>
      <c r="D140" s="242"/>
      <c r="E140" s="52" t="s">
        <v>747</v>
      </c>
      <c r="F140" s="30"/>
      <c r="G140" s="30"/>
      <c r="H140" s="30"/>
      <c r="I140" s="30"/>
      <c r="J140" s="30"/>
      <c r="K140" s="30"/>
      <c r="L140" s="30"/>
      <c r="M140" s="30"/>
      <c r="N140" s="30"/>
      <c r="O140" s="30"/>
      <c r="P140" s="172"/>
      <c r="Q140" s="39"/>
      <c r="R140" s="39"/>
      <c r="S140" s="39"/>
      <c r="T140" s="39"/>
      <c r="U140" s="39"/>
      <c r="V140" s="39" t="s">
        <v>693</v>
      </c>
      <c r="W140" s="39"/>
      <c r="X140" s="39"/>
      <c r="Y140" s="39"/>
    </row>
    <row r="141" spans="1:25" ht="12.75" customHeight="1">
      <c r="A141" t="s">
        <v>69</v>
      </c>
      <c r="B141" s="105" t="s">
        <v>322</v>
      </c>
      <c r="C141" s="105"/>
      <c r="D141" s="242"/>
      <c r="E141" s="321" t="s">
        <v>748</v>
      </c>
      <c r="F141" s="321"/>
      <c r="G141" s="321"/>
      <c r="H141" s="321"/>
      <c r="I141" s="321"/>
      <c r="J141" s="321"/>
      <c r="K141" s="321"/>
      <c r="L141" s="321"/>
      <c r="M141" s="321"/>
      <c r="N141" s="321"/>
      <c r="O141" s="321"/>
      <c r="P141" s="172"/>
      <c r="Q141" s="39"/>
      <c r="R141" s="39"/>
      <c r="S141" s="39"/>
      <c r="T141" s="39"/>
      <c r="U141" s="39"/>
      <c r="V141" s="39" t="s">
        <v>693</v>
      </c>
      <c r="W141" s="39"/>
      <c r="X141" s="39"/>
      <c r="Y141" s="39"/>
    </row>
    <row r="142" spans="1:25">
      <c r="A142" t="s">
        <v>6</v>
      </c>
      <c r="B142" s="114">
        <v>34.200000000000003</v>
      </c>
      <c r="C142" s="114"/>
      <c r="D142" s="242"/>
      <c r="E142" s="120" t="s">
        <v>694</v>
      </c>
      <c r="F142" s="103"/>
      <c r="G142" s="103"/>
      <c r="H142" s="103"/>
      <c r="I142" s="103"/>
      <c r="J142" s="103"/>
      <c r="K142" s="103"/>
      <c r="L142" s="103"/>
      <c r="M142" s="103"/>
      <c r="N142" s="103"/>
      <c r="O142" s="103"/>
      <c r="P142" s="111"/>
      <c r="Q142" s="145"/>
      <c r="R142" s="145"/>
      <c r="S142" s="145"/>
      <c r="T142" s="145"/>
      <c r="U142" s="145"/>
      <c r="V142" s="145" t="s">
        <v>519</v>
      </c>
      <c r="W142" s="39"/>
      <c r="X142" s="39"/>
      <c r="Y142" s="39"/>
    </row>
    <row r="143" spans="1:25">
      <c r="A143" s="3" t="s">
        <v>24</v>
      </c>
      <c r="B143" s="112">
        <f>SUM(B140:B142)</f>
        <v>183.39999999999998</v>
      </c>
      <c r="C143" s="112"/>
      <c r="D143" s="242"/>
      <c r="W143" s="39"/>
      <c r="X143" s="39"/>
      <c r="Y143" s="39"/>
    </row>
    <row r="144" spans="1:25">
      <c r="B144" s="46"/>
      <c r="C144" s="46"/>
      <c r="D144" s="242"/>
      <c r="W144" s="39"/>
      <c r="X144" s="39"/>
      <c r="Y144" s="39"/>
    </row>
    <row r="145" spans="1:25">
      <c r="A145" t="s">
        <v>478</v>
      </c>
      <c r="B145" s="46">
        <f>73.7+11.8</f>
        <v>85.5</v>
      </c>
      <c r="C145" s="46"/>
      <c r="D145" s="242"/>
      <c r="E145" s="52" t="s">
        <v>98</v>
      </c>
      <c r="V145" s="52" t="s">
        <v>713</v>
      </c>
      <c r="W145" s="39"/>
      <c r="X145" s="39"/>
      <c r="Y145" s="39"/>
    </row>
    <row r="146" spans="1:25">
      <c r="A146" s="3" t="s">
        <v>221</v>
      </c>
      <c r="B146" s="104">
        <f>SUM(B145)</f>
        <v>85.5</v>
      </c>
      <c r="C146" s="104"/>
      <c r="D146" s="242"/>
      <c r="W146" s="39"/>
      <c r="X146" s="39"/>
      <c r="Y146" s="39"/>
    </row>
    <row r="147" spans="1:25">
      <c r="B147" s="104"/>
      <c r="C147" s="104"/>
      <c r="D147" s="242"/>
      <c r="W147" s="39"/>
      <c r="X147" s="39"/>
      <c r="Y147" s="39"/>
    </row>
    <row r="148" spans="1:25">
      <c r="A148" s="2" t="s">
        <v>222</v>
      </c>
      <c r="B148" s="46"/>
      <c r="C148" s="46"/>
      <c r="D148" s="242"/>
      <c r="W148" s="39"/>
      <c r="X148" s="39"/>
      <c r="Y148" s="39"/>
    </row>
    <row r="149" spans="1:25">
      <c r="A149" s="103" t="s">
        <v>17</v>
      </c>
      <c r="B149" s="46">
        <f>'SA $ by prov 11-12'!B83</f>
        <v>195</v>
      </c>
      <c r="C149" s="46"/>
      <c r="D149" s="8"/>
      <c r="E149" s="52" t="s">
        <v>717</v>
      </c>
      <c r="W149" s="39"/>
      <c r="X149" s="39"/>
      <c r="Y149" s="39"/>
    </row>
    <row r="150" spans="1:25">
      <c r="A150" s="103" t="s">
        <v>12</v>
      </c>
      <c r="B150" s="46">
        <f>186.6*0.55</f>
        <v>102.63000000000001</v>
      </c>
      <c r="C150" s="46" t="s">
        <v>437</v>
      </c>
      <c r="D150" s="242"/>
      <c r="E150" s="278" t="s">
        <v>801</v>
      </c>
      <c r="V150" s="52" t="s">
        <v>789</v>
      </c>
      <c r="W150" s="39"/>
      <c r="X150" s="39"/>
      <c r="Y150" s="39"/>
    </row>
    <row r="151" spans="1:25">
      <c r="A151" s="115" t="s">
        <v>24</v>
      </c>
      <c r="B151" s="104">
        <f>SUM(B149:B150)</f>
        <v>297.63</v>
      </c>
      <c r="C151" s="104"/>
      <c r="D151" s="242"/>
      <c r="W151" s="39"/>
      <c r="X151" s="39"/>
      <c r="Y151" s="39"/>
    </row>
    <row r="152" spans="1:25">
      <c r="B152" s="104"/>
      <c r="C152" s="104"/>
      <c r="D152" s="242"/>
      <c r="W152" s="39"/>
      <c r="X152" s="39"/>
      <c r="Y152" s="39"/>
    </row>
    <row r="153" spans="1:25">
      <c r="A153" s="2" t="s">
        <v>13</v>
      </c>
      <c r="B153" s="46"/>
      <c r="C153" s="46"/>
      <c r="D153" s="242"/>
      <c r="W153" s="39"/>
      <c r="X153" s="39"/>
      <c r="Y153" s="39"/>
    </row>
    <row r="154" spans="1:25">
      <c r="A154" t="s">
        <v>7</v>
      </c>
      <c r="B154" s="46">
        <v>106.5</v>
      </c>
      <c r="C154" s="46"/>
      <c r="D154" s="242">
        <v>2011</v>
      </c>
      <c r="E154" s="52" t="s">
        <v>718</v>
      </c>
      <c r="V154" s="145" t="s">
        <v>205</v>
      </c>
    </row>
    <row r="155" spans="1:25">
      <c r="A155" t="s">
        <v>8</v>
      </c>
      <c r="B155" s="46"/>
      <c r="C155" s="46"/>
      <c r="D155" s="242"/>
      <c r="E155" t="s">
        <v>167</v>
      </c>
      <c r="V155" s="39" t="s">
        <v>206</v>
      </c>
    </row>
    <row r="156" spans="1:25">
      <c r="A156" s="3" t="s">
        <v>57</v>
      </c>
      <c r="B156" s="104">
        <f>SUM(B154:B155)</f>
        <v>106.5</v>
      </c>
      <c r="C156" s="104"/>
      <c r="D156" s="242"/>
      <c r="W156" s="39"/>
      <c r="X156" s="39"/>
      <c r="Y156" s="39"/>
    </row>
    <row r="157" spans="1:25">
      <c r="A157" t="s">
        <v>64</v>
      </c>
      <c r="B157" s="46"/>
      <c r="C157" s="46"/>
      <c r="D157" s="242"/>
      <c r="W157" s="39"/>
      <c r="X157" s="39"/>
      <c r="Y157" s="39"/>
    </row>
    <row r="158" spans="1:25">
      <c r="A158" t="s">
        <v>9</v>
      </c>
      <c r="B158" s="46">
        <v>28</v>
      </c>
      <c r="C158" s="46"/>
      <c r="D158" s="242">
        <v>2011</v>
      </c>
      <c r="E158" s="52" t="s">
        <v>742</v>
      </c>
      <c r="V158" s="52" t="s">
        <v>762</v>
      </c>
      <c r="W158" s="39"/>
      <c r="X158" s="39"/>
      <c r="Y158" s="39"/>
    </row>
    <row r="159" spans="1:25">
      <c r="A159" t="s">
        <v>10</v>
      </c>
      <c r="B159" s="46">
        <v>110</v>
      </c>
      <c r="C159" s="46"/>
      <c r="D159" s="242"/>
      <c r="E159" t="s">
        <v>378</v>
      </c>
      <c r="V159" t="s">
        <v>692</v>
      </c>
      <c r="W159" s="39"/>
      <c r="X159" s="39"/>
      <c r="Y159" s="39"/>
    </row>
    <row r="160" spans="1:25">
      <c r="A160" s="3" t="s">
        <v>24</v>
      </c>
      <c r="B160" s="104">
        <f>SUM(B158:B159)</f>
        <v>138</v>
      </c>
      <c r="C160" s="104"/>
      <c r="D160" s="242"/>
      <c r="W160" s="39"/>
      <c r="X160" s="39"/>
      <c r="Y160" s="39"/>
    </row>
    <row r="161" spans="1:25">
      <c r="A161" s="3"/>
      <c r="B161" s="104"/>
      <c r="C161" s="104"/>
      <c r="D161" s="242"/>
      <c r="W161" s="39"/>
      <c r="X161" s="39"/>
      <c r="Y161" s="39"/>
    </row>
    <row r="162" spans="1:25" ht="15.75">
      <c r="A162" s="4" t="s">
        <v>23</v>
      </c>
      <c r="B162" s="49">
        <f>SUM(B137+B143+B146+B151+B156+N164+B160)</f>
        <v>894.13455999999996</v>
      </c>
      <c r="C162" s="49"/>
      <c r="W162" s="39"/>
      <c r="X162" s="39"/>
      <c r="Y162" s="39"/>
    </row>
    <row r="163" spans="1:25" ht="15.75">
      <c r="B163" s="49"/>
      <c r="C163" s="49"/>
      <c r="W163" s="39"/>
      <c r="X163" s="39"/>
      <c r="Y163" s="39"/>
    </row>
    <row r="164" spans="1:25">
      <c r="A164" s="106"/>
      <c r="B164" s="39"/>
      <c r="C164" s="39"/>
      <c r="D164" s="39"/>
      <c r="E164" s="39"/>
      <c r="V164" s="39"/>
      <c r="W164" s="39"/>
      <c r="X164" s="39"/>
      <c r="Y164" s="39"/>
    </row>
    <row r="165" spans="1:25">
      <c r="A165" s="106"/>
      <c r="B165" s="39"/>
      <c r="C165" s="39"/>
      <c r="D165" s="39"/>
      <c r="E165" s="39"/>
      <c r="V165" s="50"/>
      <c r="W165" s="39"/>
      <c r="X165" s="39"/>
      <c r="Y165" s="39"/>
    </row>
    <row r="166" spans="1:25" ht="15.75">
      <c r="B166" s="40" t="s">
        <v>320</v>
      </c>
      <c r="C166" s="40"/>
      <c r="V166" s="50"/>
      <c r="W166" s="39"/>
      <c r="X166" s="39"/>
      <c r="Y166" s="39"/>
    </row>
    <row r="167" spans="1:25" ht="15.75">
      <c r="B167" s="40" t="s">
        <v>823</v>
      </c>
      <c r="C167" s="40"/>
      <c r="V167" s="50"/>
      <c r="W167" s="39"/>
      <c r="X167" s="39"/>
      <c r="Y167" s="39"/>
    </row>
    <row r="168" spans="1:25">
      <c r="B168" s="41" t="s">
        <v>16</v>
      </c>
      <c r="C168" s="41"/>
      <c r="V168" s="50"/>
      <c r="W168" s="39"/>
      <c r="X168" s="39"/>
      <c r="Y168" s="39"/>
    </row>
    <row r="169" spans="1:25">
      <c r="A169" s="2"/>
      <c r="B169" s="106"/>
      <c r="C169" s="106"/>
      <c r="V169" s="50"/>
      <c r="W169" s="39"/>
      <c r="X169" s="39"/>
      <c r="Y169" s="39"/>
    </row>
    <row r="170" spans="1:25">
      <c r="A170" s="2" t="s">
        <v>11</v>
      </c>
      <c r="B170" s="106"/>
      <c r="C170" s="106"/>
      <c r="V170" s="50"/>
      <c r="W170" s="39"/>
      <c r="X170" s="39"/>
      <c r="Y170" s="39"/>
    </row>
    <row r="171" spans="1:25">
      <c r="A171" t="s">
        <v>0</v>
      </c>
      <c r="B171" s="46">
        <f>'CAN Disability details 12-13'!B6*0.036</f>
        <v>24.84</v>
      </c>
      <c r="C171" s="46"/>
      <c r="D171" s="302" t="s">
        <v>217</v>
      </c>
      <c r="E171" t="s">
        <v>811</v>
      </c>
      <c r="V171" s="50"/>
      <c r="W171" s="39"/>
      <c r="X171" s="39"/>
      <c r="Y171" s="39"/>
    </row>
    <row r="172" spans="1:25">
      <c r="A172" t="s">
        <v>1</v>
      </c>
      <c r="B172" s="46">
        <f>'CAN Disability details 12-13'!B7*0.036</f>
        <v>43.199999999999996</v>
      </c>
      <c r="C172" s="46"/>
      <c r="D172" s="302" t="s">
        <v>217</v>
      </c>
      <c r="E172" t="s">
        <v>218</v>
      </c>
      <c r="V172" s="50"/>
      <c r="W172" s="39"/>
      <c r="X172" s="39"/>
      <c r="Y172" s="39"/>
    </row>
    <row r="173" spans="1:25">
      <c r="A173" t="s">
        <v>14</v>
      </c>
      <c r="B173" s="46">
        <f>'CAN Disability details 12-13'!B8*0.036</f>
        <v>3.78</v>
      </c>
      <c r="C173" s="46"/>
      <c r="D173" s="302" t="s">
        <v>217</v>
      </c>
      <c r="E173" s="52" t="s">
        <v>767</v>
      </c>
      <c r="V173" s="50"/>
      <c r="W173" s="39"/>
      <c r="X173" s="39"/>
      <c r="Y173" s="39"/>
    </row>
    <row r="174" spans="1:25">
      <c r="A174" t="s">
        <v>2</v>
      </c>
      <c r="B174" s="46">
        <f>'CAN Disability details 12-13'!B9*0.036</f>
        <v>0.18</v>
      </c>
      <c r="C174" s="46"/>
      <c r="D174" s="302" t="s">
        <v>217</v>
      </c>
      <c r="V174" s="50"/>
      <c r="W174" s="39"/>
      <c r="X174" s="39"/>
      <c r="Y174" s="39"/>
    </row>
    <row r="175" spans="1:25">
      <c r="A175" t="s">
        <v>68</v>
      </c>
      <c r="B175" s="46">
        <f>'CAN Disability details 12-13'!B10*0.036</f>
        <v>0</v>
      </c>
      <c r="C175" s="46"/>
      <c r="D175" s="302" t="s">
        <v>217</v>
      </c>
      <c r="V175" s="50"/>
      <c r="W175" s="39"/>
      <c r="X175" s="39"/>
      <c r="Y175" s="39"/>
    </row>
    <row r="176" spans="1:25">
      <c r="A176" t="s">
        <v>3</v>
      </c>
      <c r="B176" s="46">
        <f>'CAN Disability details 12-13'!B11*0.036</f>
        <v>5.04</v>
      </c>
      <c r="C176" s="46"/>
      <c r="D176" s="302" t="s">
        <v>217</v>
      </c>
      <c r="V176" s="50"/>
      <c r="W176" s="39"/>
      <c r="X176" s="39"/>
      <c r="Y176" s="39"/>
    </row>
    <row r="177" spans="1:25">
      <c r="A177" t="s">
        <v>15</v>
      </c>
      <c r="B177" s="46">
        <f>'CAN Disability details 12-13'!B12*0.036</f>
        <v>9.5212799999999991</v>
      </c>
      <c r="C177" s="46"/>
      <c r="D177" s="302" t="s">
        <v>217</v>
      </c>
      <c r="E177" s="248" t="s">
        <v>901</v>
      </c>
      <c r="F177" s="249"/>
      <c r="G177" s="249"/>
      <c r="H177" s="249"/>
      <c r="I177" s="30"/>
      <c r="J177" s="30"/>
      <c r="K177" s="30"/>
      <c r="L177" s="30"/>
      <c r="M177" s="30"/>
      <c r="N177" s="30"/>
      <c r="O177" s="30"/>
      <c r="V177" s="50"/>
      <c r="W177" s="39"/>
      <c r="X177" s="39"/>
      <c r="Y177" s="39"/>
    </row>
    <row r="178" spans="1:25">
      <c r="A178" s="3" t="s">
        <v>24</v>
      </c>
      <c r="B178" s="104">
        <f>SUM(B171:B177)</f>
        <v>86.561280000000011</v>
      </c>
      <c r="C178" s="104"/>
      <c r="D178" s="302" t="s">
        <v>217</v>
      </c>
      <c r="E178" s="6"/>
      <c r="V178" s="50"/>
      <c r="W178" s="39"/>
      <c r="X178" s="39"/>
      <c r="Y178" s="39"/>
    </row>
    <row r="179" spans="1:25">
      <c r="B179" s="46"/>
      <c r="C179" s="46"/>
      <c r="D179" s="302"/>
      <c r="V179" s="50"/>
      <c r="W179" s="39"/>
      <c r="X179" s="39"/>
      <c r="Y179" s="39"/>
    </row>
    <row r="180" spans="1:25">
      <c r="A180" s="2" t="s">
        <v>4</v>
      </c>
      <c r="B180" s="46"/>
      <c r="C180" s="46"/>
      <c r="D180" s="302"/>
      <c r="V180" s="50"/>
      <c r="W180" s="39"/>
      <c r="X180" s="39"/>
      <c r="Y180" s="39"/>
    </row>
    <row r="181" spans="1:25">
      <c r="A181" t="s">
        <v>5</v>
      </c>
      <c r="B181" s="46">
        <v>152.30000000000001</v>
      </c>
      <c r="C181" s="46"/>
      <c r="D181" s="302"/>
      <c r="E181" s="52" t="s">
        <v>747</v>
      </c>
      <c r="F181" s="30"/>
      <c r="G181" s="30"/>
      <c r="H181" s="30"/>
      <c r="I181" s="30"/>
      <c r="J181" s="30"/>
      <c r="K181" s="30"/>
      <c r="L181" s="30"/>
      <c r="M181" s="30"/>
      <c r="N181" s="30"/>
      <c r="O181" s="30"/>
      <c r="V181" s="50"/>
      <c r="W181" s="39"/>
      <c r="X181" s="39"/>
      <c r="Y181" s="39"/>
    </row>
    <row r="182" spans="1:25">
      <c r="A182" t="s">
        <v>69</v>
      </c>
      <c r="B182" s="105" t="s">
        <v>322</v>
      </c>
      <c r="C182" s="105"/>
      <c r="D182" s="302"/>
      <c r="E182" s="321" t="s">
        <v>748</v>
      </c>
      <c r="F182" s="321"/>
      <c r="G182" s="321"/>
      <c r="H182" s="321"/>
      <c r="I182" s="321"/>
      <c r="J182" s="321"/>
      <c r="K182" s="321"/>
      <c r="L182" s="321"/>
      <c r="M182" s="321"/>
      <c r="N182" s="321"/>
      <c r="O182" s="321"/>
      <c r="V182" s="50"/>
      <c r="W182" s="39"/>
      <c r="X182" s="39"/>
      <c r="Y182" s="39"/>
    </row>
    <row r="183" spans="1:25">
      <c r="A183" t="s">
        <v>6</v>
      </c>
      <c r="B183" s="114">
        <v>37.700000000000003</v>
      </c>
      <c r="C183" s="114"/>
      <c r="D183" s="302"/>
      <c r="E183" s="120" t="s">
        <v>694</v>
      </c>
      <c r="F183" s="103"/>
      <c r="G183" s="103"/>
      <c r="H183" s="103"/>
      <c r="I183" s="103"/>
      <c r="J183" s="103"/>
      <c r="K183" s="103"/>
      <c r="L183" s="103"/>
      <c r="M183" s="103"/>
      <c r="N183" s="103"/>
      <c r="O183" s="103"/>
      <c r="V183" s="50"/>
      <c r="W183" s="39"/>
      <c r="X183" s="39"/>
      <c r="Y183" s="39"/>
    </row>
    <row r="184" spans="1:25">
      <c r="A184" s="3" t="s">
        <v>24</v>
      </c>
      <c r="B184" s="112">
        <f>SUM(B181:B183)</f>
        <v>190</v>
      </c>
      <c r="C184" s="112"/>
      <c r="D184" s="302"/>
      <c r="V184" s="50"/>
      <c r="W184" s="39"/>
      <c r="X184" s="39"/>
      <c r="Y184" s="39"/>
    </row>
    <row r="185" spans="1:25">
      <c r="B185" s="46"/>
      <c r="C185" s="46"/>
      <c r="D185" s="302"/>
      <c r="V185" s="50"/>
      <c r="W185" s="39"/>
      <c r="X185" s="39"/>
      <c r="Y185" s="39"/>
    </row>
    <row r="186" spans="1:25">
      <c r="A186" t="s">
        <v>101</v>
      </c>
      <c r="B186" s="46">
        <v>69.7</v>
      </c>
      <c r="C186" s="46"/>
      <c r="D186" s="302"/>
      <c r="E186" s="52" t="s">
        <v>925</v>
      </c>
      <c r="V186" s="50"/>
      <c r="W186" s="39"/>
      <c r="X186" s="39"/>
      <c r="Y186" s="39"/>
    </row>
    <row r="187" spans="1:25">
      <c r="A187" t="s">
        <v>924</v>
      </c>
      <c r="B187" s="46">
        <v>14.2</v>
      </c>
      <c r="C187" s="46"/>
      <c r="D187" s="302"/>
      <c r="E187" s="52"/>
      <c r="V187" s="50"/>
      <c r="W187" s="39"/>
      <c r="X187" s="39"/>
      <c r="Y187" s="39"/>
    </row>
    <row r="188" spans="1:25">
      <c r="A188" s="3" t="s">
        <v>221</v>
      </c>
      <c r="B188" s="104">
        <f>SUM(B186:B187)</f>
        <v>83.9</v>
      </c>
      <c r="C188" s="104"/>
      <c r="D188" s="302"/>
      <c r="V188" s="50"/>
      <c r="W188" s="39"/>
      <c r="X188" s="39"/>
      <c r="Y188" s="39"/>
    </row>
    <row r="189" spans="1:25">
      <c r="B189" s="104"/>
      <c r="C189" s="104"/>
      <c r="D189" s="302"/>
      <c r="V189" s="50"/>
      <c r="W189" s="39"/>
      <c r="X189" s="39"/>
      <c r="Y189" s="39"/>
    </row>
    <row r="190" spans="1:25">
      <c r="A190" s="2" t="s">
        <v>222</v>
      </c>
      <c r="B190" s="46"/>
      <c r="C190" s="46"/>
      <c r="D190" s="302"/>
      <c r="V190" s="50"/>
      <c r="W190" s="39"/>
      <c r="X190" s="39"/>
      <c r="Y190" s="39"/>
    </row>
    <row r="191" spans="1:25">
      <c r="A191" s="103" t="s">
        <v>17</v>
      </c>
      <c r="B191" s="46">
        <f>'SA $ by prov 12-13'!B87</f>
        <v>193.79999999999998</v>
      </c>
      <c r="C191" s="46"/>
      <c r="D191" s="8"/>
      <c r="E191" s="52" t="s">
        <v>1007</v>
      </c>
      <c r="V191" s="50"/>
      <c r="W191" s="39"/>
      <c r="X191" s="39"/>
      <c r="Y191" s="39"/>
    </row>
    <row r="192" spans="1:25">
      <c r="A192" s="103" t="s">
        <v>12</v>
      </c>
      <c r="B192" s="46">
        <f>194.5*0.57</f>
        <v>110.86499999999999</v>
      </c>
      <c r="C192" s="46" t="s">
        <v>437</v>
      </c>
      <c r="D192" s="302"/>
      <c r="E192" s="278" t="s">
        <v>1005</v>
      </c>
      <c r="V192" s="50"/>
      <c r="W192" s="39"/>
      <c r="X192" s="39"/>
      <c r="Y192" s="39"/>
    </row>
    <row r="193" spans="1:25">
      <c r="A193" s="115" t="s">
        <v>24</v>
      </c>
      <c r="B193" s="104">
        <f>SUM(B191:B192)</f>
        <v>304.66499999999996</v>
      </c>
      <c r="C193" s="104"/>
      <c r="D193" s="302"/>
      <c r="V193" s="50"/>
      <c r="W193" s="39"/>
      <c r="X193" s="39"/>
      <c r="Y193" s="39"/>
    </row>
    <row r="194" spans="1:25">
      <c r="B194" s="104"/>
      <c r="C194" s="104"/>
      <c r="D194" s="302"/>
      <c r="V194" s="50"/>
      <c r="W194" s="39"/>
      <c r="X194" s="39"/>
      <c r="Y194" s="39"/>
    </row>
    <row r="195" spans="1:25">
      <c r="A195" s="2" t="s">
        <v>13</v>
      </c>
      <c r="B195" s="46"/>
      <c r="C195" s="46"/>
      <c r="D195" s="302"/>
      <c r="V195" s="50"/>
      <c r="W195" s="39"/>
      <c r="X195" s="39"/>
      <c r="Y195" s="39"/>
    </row>
    <row r="196" spans="1:25">
      <c r="A196" t="s">
        <v>7</v>
      </c>
      <c r="B196" s="46">
        <v>108.9</v>
      </c>
      <c r="C196" s="46"/>
      <c r="D196" s="302">
        <v>2012</v>
      </c>
      <c r="E196" s="52" t="s">
        <v>718</v>
      </c>
      <c r="V196" s="50"/>
      <c r="W196" s="39"/>
      <c r="X196" s="39"/>
      <c r="Y196" s="39"/>
    </row>
    <row r="197" spans="1:25">
      <c r="A197" t="s">
        <v>8</v>
      </c>
      <c r="B197" s="46"/>
      <c r="C197" s="46"/>
      <c r="D197" s="302"/>
      <c r="E197" t="s">
        <v>167</v>
      </c>
      <c r="V197" s="50"/>
      <c r="W197" s="39"/>
      <c r="X197" s="39"/>
      <c r="Y197" s="39"/>
    </row>
    <row r="198" spans="1:25">
      <c r="A198" s="3" t="s">
        <v>57</v>
      </c>
      <c r="B198" s="104">
        <f>SUM(B196:B197)</f>
        <v>108.9</v>
      </c>
      <c r="C198" s="104"/>
      <c r="D198" s="302"/>
      <c r="V198" s="50"/>
      <c r="W198" s="39"/>
      <c r="X198" s="39"/>
      <c r="Y198" s="39"/>
    </row>
    <row r="199" spans="1:25">
      <c r="A199" t="s">
        <v>64</v>
      </c>
      <c r="B199" s="46"/>
      <c r="C199" s="46"/>
      <c r="D199" s="302"/>
      <c r="V199" s="50"/>
      <c r="W199" s="39"/>
      <c r="X199" s="39"/>
      <c r="Y199" s="39"/>
    </row>
    <row r="200" spans="1:25">
      <c r="A200" t="s">
        <v>9</v>
      </c>
      <c r="B200" s="46">
        <v>29</v>
      </c>
      <c r="C200" s="46"/>
      <c r="D200" s="302">
        <v>2012</v>
      </c>
      <c r="E200" s="52" t="s">
        <v>961</v>
      </c>
      <c r="V200" s="50"/>
      <c r="W200" s="39"/>
      <c r="X200" s="39"/>
      <c r="Y200" s="39"/>
    </row>
    <row r="201" spans="1:25">
      <c r="A201" t="s">
        <v>10</v>
      </c>
      <c r="B201" s="46">
        <v>123</v>
      </c>
      <c r="C201" s="46"/>
      <c r="D201" s="302"/>
      <c r="E201" t="s">
        <v>378</v>
      </c>
      <c r="V201" s="50"/>
      <c r="W201" s="39"/>
      <c r="X201" s="39"/>
      <c r="Y201" s="39"/>
    </row>
    <row r="202" spans="1:25">
      <c r="A202" s="3" t="s">
        <v>24</v>
      </c>
      <c r="B202" s="104">
        <f>SUM(B200:B201)</f>
        <v>152</v>
      </c>
      <c r="C202" s="104"/>
      <c r="D202" s="302"/>
      <c r="V202" s="50"/>
      <c r="W202" s="39"/>
      <c r="X202" s="39"/>
      <c r="Y202" s="39"/>
    </row>
    <row r="203" spans="1:25">
      <c r="A203" s="3"/>
      <c r="B203" s="104"/>
      <c r="C203" s="104"/>
      <c r="D203" s="302"/>
      <c r="V203" s="50"/>
      <c r="W203" s="39"/>
      <c r="X203" s="39"/>
      <c r="Y203" s="39"/>
    </row>
    <row r="204" spans="1:25" ht="15.75">
      <c r="A204" s="4" t="s">
        <v>23</v>
      </c>
      <c r="B204" s="49">
        <f>SUM(B178+B184+B188+B193+B198+N206+B202)</f>
        <v>926.02627999999993</v>
      </c>
      <c r="C204" s="49"/>
      <c r="V204" s="50"/>
      <c r="W204" s="39"/>
      <c r="X204" s="39"/>
      <c r="Y204" s="39"/>
    </row>
    <row r="205" spans="1:25" ht="15.75">
      <c r="B205" s="49"/>
      <c r="C205" s="49"/>
      <c r="V205" s="50"/>
      <c r="W205" s="39"/>
      <c r="X205" s="39"/>
      <c r="Y205" s="39"/>
    </row>
    <row r="206" spans="1:25">
      <c r="A206" s="106"/>
      <c r="B206" s="39"/>
      <c r="C206" s="39"/>
      <c r="D206" s="39"/>
      <c r="E206" s="39"/>
      <c r="V206" s="50"/>
      <c r="W206" s="39"/>
      <c r="X206" s="39"/>
      <c r="Y206" s="39"/>
    </row>
    <row r="207" spans="1:25">
      <c r="A207" s="106"/>
      <c r="B207" s="39"/>
      <c r="C207" s="39"/>
      <c r="D207" s="39"/>
      <c r="E207" s="39"/>
      <c r="V207" s="50"/>
      <c r="W207" s="39"/>
      <c r="X207" s="39"/>
      <c r="Y207" s="39"/>
    </row>
    <row r="208" spans="1:25" ht="15.75">
      <c r="B208" s="40" t="s">
        <v>320</v>
      </c>
      <c r="C208" s="40"/>
      <c r="V208" s="50"/>
      <c r="W208" s="39"/>
      <c r="X208" s="39"/>
      <c r="Y208" s="39"/>
    </row>
    <row r="209" spans="1:25" ht="15.75">
      <c r="B209" s="40" t="s">
        <v>824</v>
      </c>
      <c r="C209" s="40"/>
      <c r="V209" s="50"/>
      <c r="W209" s="39"/>
      <c r="X209" s="39"/>
      <c r="Y209" s="39"/>
    </row>
    <row r="210" spans="1:25">
      <c r="B210" s="41" t="s">
        <v>16</v>
      </c>
      <c r="C210" s="41"/>
      <c r="V210" s="50"/>
      <c r="W210" s="39"/>
      <c r="X210" s="39"/>
      <c r="Y210" s="39"/>
    </row>
    <row r="211" spans="1:25">
      <c r="A211" s="2"/>
      <c r="B211" s="106"/>
      <c r="C211" s="106"/>
      <c r="V211" s="50"/>
      <c r="W211" s="39"/>
      <c r="X211" s="39"/>
      <c r="Y211" s="39"/>
    </row>
    <row r="212" spans="1:25">
      <c r="A212" s="2" t="s">
        <v>11</v>
      </c>
      <c r="B212" s="106"/>
      <c r="C212" s="106"/>
      <c r="V212" s="50"/>
      <c r="W212" s="39"/>
      <c r="X212" s="39"/>
      <c r="Y212" s="39"/>
    </row>
    <row r="213" spans="1:25">
      <c r="A213" t="s">
        <v>0</v>
      </c>
      <c r="B213" s="46">
        <f>'CAN Disability detailes 13-14'!B6*0.036</f>
        <v>25.919999999999998</v>
      </c>
      <c r="C213" s="46"/>
      <c r="D213" s="302" t="s">
        <v>217</v>
      </c>
      <c r="E213" t="s">
        <v>811</v>
      </c>
      <c r="V213" s="50"/>
      <c r="W213" s="39"/>
      <c r="X213" s="39"/>
      <c r="Y213" s="39"/>
    </row>
    <row r="214" spans="1:25">
      <c r="A214" t="s">
        <v>1</v>
      </c>
      <c r="B214" s="46">
        <f>'CAN Disability detailes 13-14'!B7*0.036</f>
        <v>46.62</v>
      </c>
      <c r="C214" s="46"/>
      <c r="D214" s="302" t="s">
        <v>217</v>
      </c>
      <c r="E214" t="s">
        <v>218</v>
      </c>
      <c r="V214" s="50"/>
      <c r="W214" s="39"/>
      <c r="X214" s="39"/>
      <c r="Y214" s="39"/>
    </row>
    <row r="215" spans="1:25">
      <c r="A215" t="s">
        <v>14</v>
      </c>
      <c r="B215" s="46">
        <f>'CAN Disability detailes 13-14'!B8*0.036</f>
        <v>3.9599999999999995</v>
      </c>
      <c r="C215" s="46"/>
      <c r="D215" s="302" t="s">
        <v>217</v>
      </c>
      <c r="E215" s="52" t="s">
        <v>767</v>
      </c>
      <c r="V215" s="50"/>
      <c r="W215" s="39"/>
      <c r="X215" s="39"/>
      <c r="Y215" s="39"/>
    </row>
    <row r="216" spans="1:25">
      <c r="A216" t="s">
        <v>2</v>
      </c>
      <c r="B216" s="46">
        <f>'CAN Disability detailes 13-14'!B9*0.036</f>
        <v>0.21599999999999997</v>
      </c>
      <c r="C216" s="46"/>
      <c r="D216" s="302" t="s">
        <v>217</v>
      </c>
      <c r="V216" s="50"/>
      <c r="W216" s="39"/>
      <c r="X216" s="39"/>
      <c r="Y216" s="39"/>
    </row>
    <row r="217" spans="1:25">
      <c r="A217" t="s">
        <v>68</v>
      </c>
      <c r="B217" s="46">
        <f>'CAN Disability detailes 13-14'!B10*0.036</f>
        <v>0</v>
      </c>
      <c r="C217" s="46"/>
      <c r="D217" s="302" t="s">
        <v>217</v>
      </c>
      <c r="V217" s="50"/>
      <c r="W217" s="39"/>
      <c r="X217" s="39"/>
      <c r="Y217" s="39"/>
    </row>
    <row r="218" spans="1:25">
      <c r="A218" t="s">
        <v>3</v>
      </c>
      <c r="B218" s="46">
        <f>'CAN Disability detailes 13-14'!B11*0.036</f>
        <v>5.22</v>
      </c>
      <c r="C218" s="46"/>
      <c r="D218" s="302" t="s">
        <v>217</v>
      </c>
      <c r="V218" s="50"/>
      <c r="W218" s="39"/>
      <c r="X218" s="39"/>
      <c r="Y218" s="39"/>
    </row>
    <row r="219" spans="1:25">
      <c r="A219" t="s">
        <v>15</v>
      </c>
      <c r="B219" s="46">
        <f>'CAN Disability detailes 13-14'!B12*0.036</f>
        <v>8.8424999999999994</v>
      </c>
      <c r="C219" s="46"/>
      <c r="D219" s="302" t="s">
        <v>217</v>
      </c>
      <c r="E219" s="248" t="s">
        <v>901</v>
      </c>
      <c r="F219" s="249"/>
      <c r="G219" s="249"/>
      <c r="H219" s="249"/>
      <c r="I219" s="30"/>
      <c r="J219" s="30"/>
      <c r="K219" s="30"/>
      <c r="L219" s="30"/>
      <c r="M219" s="30"/>
      <c r="N219" s="30"/>
      <c r="O219" s="30"/>
      <c r="V219" s="50"/>
      <c r="W219" s="39"/>
      <c r="X219" s="39"/>
      <c r="Y219" s="39"/>
    </row>
    <row r="220" spans="1:25">
      <c r="A220" s="3" t="s">
        <v>24</v>
      </c>
      <c r="B220" s="104">
        <f>SUM(B213:B219)</f>
        <v>90.77849999999998</v>
      </c>
      <c r="C220" s="104"/>
      <c r="D220" s="302" t="s">
        <v>217</v>
      </c>
      <c r="E220" s="6"/>
      <c r="V220" s="50"/>
      <c r="W220" s="39"/>
      <c r="X220" s="39"/>
      <c r="Y220" s="39"/>
    </row>
    <row r="221" spans="1:25">
      <c r="B221" s="46"/>
      <c r="C221" s="46"/>
      <c r="D221" s="302"/>
      <c r="V221" s="50"/>
      <c r="W221" s="39"/>
      <c r="X221" s="39"/>
      <c r="Y221" s="39"/>
    </row>
    <row r="222" spans="1:25">
      <c r="A222" s="2" t="s">
        <v>4</v>
      </c>
      <c r="B222" s="46"/>
      <c r="C222" s="46"/>
      <c r="D222" s="302"/>
      <c r="V222" s="50"/>
      <c r="W222" s="39"/>
      <c r="X222" s="39"/>
      <c r="Y222" s="39"/>
    </row>
    <row r="223" spans="1:25">
      <c r="A223" t="s">
        <v>5</v>
      </c>
      <c r="B223" s="46">
        <v>154.80000000000001</v>
      </c>
      <c r="C223" s="46"/>
      <c r="D223" s="302"/>
      <c r="E223" s="52" t="s">
        <v>747</v>
      </c>
      <c r="F223" s="30"/>
      <c r="G223" s="30"/>
      <c r="H223" s="30"/>
      <c r="I223" s="30"/>
      <c r="J223" s="30"/>
      <c r="K223" s="30"/>
      <c r="L223" s="30"/>
      <c r="M223" s="30"/>
      <c r="N223" s="30"/>
      <c r="O223" s="30"/>
      <c r="V223" s="50"/>
      <c r="W223" s="39"/>
      <c r="X223" s="39"/>
      <c r="Y223" s="39"/>
    </row>
    <row r="224" spans="1:25">
      <c r="A224" t="s">
        <v>69</v>
      </c>
      <c r="B224" s="105"/>
      <c r="C224" s="105"/>
      <c r="D224" s="302"/>
      <c r="E224" s="321" t="s">
        <v>748</v>
      </c>
      <c r="F224" s="321"/>
      <c r="G224" s="321"/>
      <c r="H224" s="321"/>
      <c r="I224" s="321"/>
      <c r="J224" s="321"/>
      <c r="K224" s="321"/>
      <c r="L224" s="321"/>
      <c r="M224" s="321"/>
      <c r="N224" s="321"/>
      <c r="O224" s="321"/>
      <c r="V224" s="50"/>
      <c r="W224" s="39"/>
      <c r="X224" s="39"/>
      <c r="Y224" s="39"/>
    </row>
    <row r="225" spans="1:25">
      <c r="A225" t="s">
        <v>6</v>
      </c>
      <c r="B225" s="114">
        <v>38</v>
      </c>
      <c r="C225" s="114"/>
      <c r="D225" s="302"/>
      <c r="E225" s="120" t="s">
        <v>694</v>
      </c>
      <c r="F225" s="103"/>
      <c r="G225" s="103"/>
      <c r="H225" s="103"/>
      <c r="I225" s="103"/>
      <c r="J225" s="103"/>
      <c r="K225" s="103"/>
      <c r="L225" s="103"/>
      <c r="M225" s="103"/>
      <c r="N225" s="103"/>
      <c r="O225" s="103"/>
      <c r="V225" s="50"/>
      <c r="W225" s="39"/>
      <c r="X225" s="39"/>
      <c r="Y225" s="39"/>
    </row>
    <row r="226" spans="1:25">
      <c r="A226" s="3" t="s">
        <v>24</v>
      </c>
      <c r="B226" s="112">
        <f>SUM(B223:B225)</f>
        <v>192.8</v>
      </c>
      <c r="C226" s="112"/>
      <c r="D226" s="302"/>
      <c r="V226" s="50"/>
      <c r="W226" s="39"/>
      <c r="X226" s="39"/>
      <c r="Y226" s="39"/>
    </row>
    <row r="227" spans="1:25">
      <c r="B227" s="46"/>
      <c r="C227" s="46"/>
      <c r="D227" s="302"/>
      <c r="V227" s="50"/>
      <c r="W227" s="39"/>
      <c r="X227" s="39"/>
      <c r="Y227" s="39"/>
    </row>
    <row r="228" spans="1:25">
      <c r="A228" t="s">
        <v>101</v>
      </c>
      <c r="B228" s="46">
        <v>65.2</v>
      </c>
      <c r="C228" s="46"/>
      <c r="D228" s="302"/>
      <c r="E228" s="52" t="s">
        <v>926</v>
      </c>
      <c r="V228" s="50"/>
      <c r="W228" s="39"/>
      <c r="X228" s="39"/>
      <c r="Y228" s="39"/>
    </row>
    <row r="229" spans="1:25">
      <c r="A229" t="s">
        <v>924</v>
      </c>
      <c r="B229" s="46">
        <v>12.8</v>
      </c>
      <c r="C229" s="46"/>
      <c r="D229" s="302"/>
      <c r="E229" s="52"/>
      <c r="V229" s="50"/>
      <c r="W229" s="39"/>
      <c r="X229" s="39"/>
      <c r="Y229" s="39"/>
    </row>
    <row r="230" spans="1:25">
      <c r="A230" s="3" t="s">
        <v>221</v>
      </c>
      <c r="B230" s="104">
        <f>SUM(B228:B229)</f>
        <v>78</v>
      </c>
      <c r="C230" s="104"/>
      <c r="D230" s="302"/>
      <c r="V230" s="50"/>
      <c r="W230" s="39"/>
      <c r="X230" s="39"/>
      <c r="Y230" s="39"/>
    </row>
    <row r="231" spans="1:25">
      <c r="B231" s="104"/>
      <c r="C231" s="104"/>
      <c r="D231" s="302"/>
      <c r="V231" s="50"/>
      <c r="W231" s="39"/>
      <c r="X231" s="39"/>
      <c r="Y231" s="39"/>
    </row>
    <row r="232" spans="1:25">
      <c r="A232" s="2" t="s">
        <v>222</v>
      </c>
      <c r="B232" s="46"/>
      <c r="C232" s="46"/>
      <c r="D232" s="302"/>
      <c r="V232" s="50"/>
      <c r="W232" s="39"/>
      <c r="X232" s="39"/>
      <c r="Y232" s="39"/>
    </row>
    <row r="233" spans="1:25">
      <c r="A233" s="103" t="s">
        <v>17</v>
      </c>
      <c r="B233" s="46">
        <f>'SA $ by prov 13-14'!B88</f>
        <v>193.5</v>
      </c>
      <c r="C233" s="46"/>
      <c r="D233" s="8"/>
      <c r="E233" s="52" t="s">
        <v>1012</v>
      </c>
      <c r="V233" s="50"/>
      <c r="W233" s="39"/>
      <c r="X233" s="39"/>
      <c r="Y233" s="39"/>
    </row>
    <row r="234" spans="1:25">
      <c r="A234" s="103" t="s">
        <v>12</v>
      </c>
      <c r="B234" s="46">
        <f>199.3*0.59</f>
        <v>117.587</v>
      </c>
      <c r="C234" s="46" t="s">
        <v>437</v>
      </c>
      <c r="D234" s="302"/>
      <c r="E234" s="106" t="s">
        <v>1016</v>
      </c>
      <c r="V234" s="50"/>
      <c r="W234" s="39"/>
      <c r="X234" s="39"/>
      <c r="Y234" s="39"/>
    </row>
    <row r="235" spans="1:25">
      <c r="A235" s="115" t="s">
        <v>24</v>
      </c>
      <c r="B235" s="104">
        <f>SUM(B233:B234)</f>
        <v>311.08699999999999</v>
      </c>
      <c r="C235" s="104"/>
      <c r="D235" s="302"/>
      <c r="V235" s="50"/>
      <c r="W235" s="39"/>
      <c r="X235" s="39"/>
      <c r="Y235" s="39"/>
    </row>
    <row r="236" spans="1:25">
      <c r="B236" s="104"/>
      <c r="C236" s="104"/>
      <c r="D236" s="302"/>
      <c r="V236" s="50"/>
      <c r="W236" s="39"/>
      <c r="X236" s="39"/>
      <c r="Y236" s="39"/>
    </row>
    <row r="237" spans="1:25">
      <c r="A237" s="2" t="s">
        <v>13</v>
      </c>
      <c r="B237" s="46"/>
      <c r="C237" s="46"/>
      <c r="D237" s="302"/>
      <c r="V237" s="50"/>
      <c r="W237" s="39"/>
      <c r="X237" s="39"/>
      <c r="Y237" s="39"/>
    </row>
    <row r="238" spans="1:25">
      <c r="A238" t="s">
        <v>7</v>
      </c>
      <c r="B238" s="46">
        <v>116.4</v>
      </c>
      <c r="C238" s="46"/>
      <c r="D238" s="302">
        <v>2013</v>
      </c>
      <c r="E238" s="52" t="s">
        <v>718</v>
      </c>
      <c r="V238" s="50"/>
      <c r="W238" s="39"/>
      <c r="X238" s="39"/>
      <c r="Y238" s="39"/>
    </row>
    <row r="239" spans="1:25">
      <c r="A239" t="s">
        <v>8</v>
      </c>
      <c r="B239" s="46"/>
      <c r="C239" s="46"/>
      <c r="D239" s="302"/>
      <c r="E239" s="52" t="s">
        <v>964</v>
      </c>
      <c r="V239" s="50"/>
      <c r="W239" s="39"/>
      <c r="X239" s="39"/>
      <c r="Y239" s="39"/>
    </row>
    <row r="240" spans="1:25">
      <c r="A240" s="3" t="s">
        <v>57</v>
      </c>
      <c r="B240" s="104">
        <f>SUM(B238:B239)</f>
        <v>116.4</v>
      </c>
      <c r="C240" s="104"/>
      <c r="D240" s="302"/>
      <c r="V240" s="50"/>
      <c r="W240" s="39"/>
      <c r="X240" s="39"/>
      <c r="Y240" s="39"/>
    </row>
    <row r="241" spans="1:28">
      <c r="A241" t="s">
        <v>64</v>
      </c>
      <c r="B241" s="46"/>
      <c r="C241" s="46"/>
      <c r="D241" s="302"/>
      <c r="V241" s="50"/>
      <c r="W241" s="39"/>
      <c r="X241" s="39"/>
      <c r="Y241" s="39"/>
    </row>
    <row r="242" spans="1:28">
      <c r="A242" t="s">
        <v>9</v>
      </c>
      <c r="B242" s="46">
        <v>29</v>
      </c>
      <c r="C242" s="46"/>
      <c r="D242" s="302">
        <v>2013</v>
      </c>
      <c r="E242" s="52" t="s">
        <v>927</v>
      </c>
      <c r="V242" s="50"/>
      <c r="W242" s="39"/>
      <c r="X242" s="39"/>
      <c r="Y242" s="39"/>
    </row>
    <row r="243" spans="1:28">
      <c r="A243" t="s">
        <v>10</v>
      </c>
      <c r="B243" s="46">
        <v>142</v>
      </c>
      <c r="C243" s="46"/>
      <c r="D243" s="302"/>
      <c r="E243" t="s">
        <v>378</v>
      </c>
      <c r="V243" s="50"/>
      <c r="W243" s="39"/>
      <c r="X243" s="39"/>
      <c r="Y243" s="39"/>
    </row>
    <row r="244" spans="1:28">
      <c r="A244" s="3" t="s">
        <v>24</v>
      </c>
      <c r="B244" s="104">
        <f>SUM(B242:B243)</f>
        <v>171</v>
      </c>
      <c r="C244" s="104"/>
      <c r="D244" s="302"/>
      <c r="V244" s="50"/>
      <c r="W244" s="39"/>
      <c r="X244" s="39"/>
      <c r="Y244" s="39"/>
    </row>
    <row r="245" spans="1:28">
      <c r="A245" s="3"/>
      <c r="B245" s="104"/>
      <c r="C245" s="104"/>
      <c r="D245" s="302"/>
      <c r="V245" s="50"/>
      <c r="W245" s="39"/>
      <c r="X245" s="39"/>
      <c r="Y245" s="39"/>
    </row>
    <row r="246" spans="1:28" ht="15.75">
      <c r="A246" s="4" t="s">
        <v>23</v>
      </c>
      <c r="B246" s="49">
        <f>SUM(B220+B226+B230+B235+B240+N248+B244)</f>
        <v>960.06549999999993</v>
      </c>
      <c r="C246" s="49"/>
      <c r="V246" s="50"/>
      <c r="W246" s="39"/>
      <c r="X246" s="39"/>
      <c r="Y246" s="39"/>
    </row>
    <row r="247" spans="1:28" ht="15.75">
      <c r="B247" s="49"/>
      <c r="C247" s="49"/>
      <c r="V247" s="50"/>
      <c r="W247" s="39"/>
      <c r="X247" s="39"/>
      <c r="Y247" s="39"/>
    </row>
    <row r="248" spans="1:28">
      <c r="A248" s="106"/>
      <c r="B248" s="39"/>
      <c r="C248" s="39"/>
      <c r="D248" s="39"/>
      <c r="E248" s="39"/>
      <c r="V248" s="50"/>
      <c r="W248" s="39"/>
      <c r="X248" s="39"/>
      <c r="Y248" s="39"/>
    </row>
    <row r="249" spans="1:28">
      <c r="A249" s="106"/>
      <c r="B249" s="39"/>
      <c r="C249" s="39"/>
      <c r="D249" s="39"/>
      <c r="E249" s="39"/>
      <c r="V249" s="50"/>
      <c r="W249" s="39"/>
      <c r="X249" s="39"/>
      <c r="Y249" s="39"/>
    </row>
    <row r="250" spans="1:28">
      <c r="A250" s="106"/>
      <c r="B250" s="39"/>
      <c r="C250" s="39"/>
      <c r="D250" s="39"/>
      <c r="E250" s="39"/>
      <c r="V250" s="50"/>
      <c r="W250" s="39"/>
      <c r="X250" s="39"/>
      <c r="Y250" s="39"/>
    </row>
    <row r="251" spans="1:28">
      <c r="A251" s="106"/>
      <c r="B251" s="39"/>
      <c r="C251" s="39"/>
      <c r="D251" s="39"/>
      <c r="E251" s="39"/>
      <c r="V251" s="50"/>
      <c r="W251" s="39"/>
      <c r="X251" s="39"/>
      <c r="Y251" s="39"/>
    </row>
    <row r="252" spans="1:28">
      <c r="A252" s="106"/>
      <c r="B252" s="39"/>
      <c r="C252" s="39"/>
      <c r="D252" s="39"/>
      <c r="E252" s="39"/>
      <c r="V252" s="224" t="s">
        <v>687</v>
      </c>
      <c r="W252" s="223"/>
      <c r="X252" s="223"/>
      <c r="Y252" s="223"/>
    </row>
    <row r="253" spans="1:28" ht="15.75">
      <c r="A253" s="48" t="s">
        <v>381</v>
      </c>
      <c r="B253" s="39"/>
      <c r="C253" s="39"/>
      <c r="D253" s="39"/>
      <c r="E253" s="39"/>
      <c r="N253" s="2" t="s">
        <v>389</v>
      </c>
      <c r="V253" s="224">
        <v>2005</v>
      </c>
      <c r="W253" s="224">
        <v>2010</v>
      </c>
      <c r="X253" s="223">
        <v>2011</v>
      </c>
      <c r="Y253" s="223">
        <v>2013</v>
      </c>
    </row>
    <row r="254" spans="1:28" ht="55.5" customHeight="1">
      <c r="B254" s="41" t="s">
        <v>58</v>
      </c>
      <c r="C254" s="41"/>
      <c r="D254" s="41" t="s">
        <v>181</v>
      </c>
      <c r="E254" s="42" t="s">
        <v>406</v>
      </c>
      <c r="F254" s="41" t="s">
        <v>514</v>
      </c>
      <c r="G254" s="42" t="s">
        <v>607</v>
      </c>
      <c r="H254" s="41" t="s">
        <v>689</v>
      </c>
      <c r="I254" s="42" t="s">
        <v>719</v>
      </c>
      <c r="J254" s="42" t="s">
        <v>823</v>
      </c>
      <c r="K254" s="42" t="s">
        <v>922</v>
      </c>
      <c r="L254" s="42" t="s">
        <v>824</v>
      </c>
      <c r="M254" s="42" t="s">
        <v>923</v>
      </c>
      <c r="N254" s="41" t="s">
        <v>58</v>
      </c>
      <c r="O254" s="41" t="s">
        <v>181</v>
      </c>
      <c r="P254" s="41" t="s">
        <v>514</v>
      </c>
      <c r="Q254" s="41" t="s">
        <v>689</v>
      </c>
      <c r="R254" s="41" t="s">
        <v>823</v>
      </c>
      <c r="S254" s="41" t="s">
        <v>824</v>
      </c>
      <c r="T254" s="41"/>
      <c r="V254" s="232">
        <v>1178296</v>
      </c>
      <c r="W254" s="232">
        <v>1220930</v>
      </c>
      <c r="X254" s="227">
        <v>1233728</v>
      </c>
      <c r="Y254" s="227">
        <v>1265342</v>
      </c>
      <c r="Z254" s="322" t="s">
        <v>1029</v>
      </c>
      <c r="AA254" s="322"/>
      <c r="AB254" s="322"/>
    </row>
    <row r="255" spans="1:28" ht="25.5">
      <c r="B255" s="41"/>
      <c r="C255" s="41"/>
      <c r="D255" s="41"/>
      <c r="E255" s="42"/>
      <c r="F255" s="41"/>
      <c r="G255" s="42"/>
      <c r="N255" s="41"/>
      <c r="O255" s="41"/>
      <c r="P255" s="41"/>
      <c r="V255" s="232"/>
      <c r="W255" s="232"/>
      <c r="X255" s="235"/>
      <c r="Y255" s="235"/>
      <c r="Z255" s="42" t="s">
        <v>170</v>
      </c>
      <c r="AA255" s="242"/>
    </row>
    <row r="256" spans="1:28">
      <c r="A256" s="2" t="s">
        <v>11</v>
      </c>
      <c r="B256" s="9">
        <f>B13</f>
        <v>62.1</v>
      </c>
      <c r="C256" s="9"/>
      <c r="D256" s="9">
        <f>B54</f>
        <v>73.745999999999995</v>
      </c>
      <c r="E256" s="29">
        <f>(D256-B256)/B256</f>
        <v>0.18753623188405785</v>
      </c>
      <c r="F256" s="9">
        <f>B96</f>
        <v>78.854399999999998</v>
      </c>
      <c r="G256" s="29">
        <f>(F256-B256)/B256</f>
        <v>0.26979710144927532</v>
      </c>
      <c r="H256" s="9">
        <f>B137</f>
        <v>83.104560000000006</v>
      </c>
      <c r="I256" s="29">
        <f>(H256-B256)/B256</f>
        <v>0.33823768115942038</v>
      </c>
      <c r="J256" s="9">
        <f>B178</f>
        <v>86.561280000000011</v>
      </c>
      <c r="K256" s="29">
        <f>(J256-B256)/B256</f>
        <v>0.39390144927536247</v>
      </c>
      <c r="L256" s="9">
        <f>B220</f>
        <v>90.77849999999998</v>
      </c>
      <c r="M256" s="29">
        <f>(L256-B256)/B256</f>
        <v>0.46181159420289819</v>
      </c>
      <c r="N256" s="29">
        <f t="shared" ref="N256:N265" si="0">B256/$B$265</f>
        <v>8.5539664370457E-2</v>
      </c>
      <c r="O256" s="29">
        <f t="shared" ref="O256:O265" si="1">D256/$D$265</f>
        <v>8.7152699812094489E-2</v>
      </c>
      <c r="P256" s="29">
        <f t="shared" ref="P256:P265" si="2">F256/$F$265</f>
        <v>9.017554260119226E-2</v>
      </c>
      <c r="Q256" s="29">
        <f>H256/$H$265</f>
        <v>9.2944131362062546E-2</v>
      </c>
      <c r="R256" s="29">
        <f>J256/$J$265</f>
        <v>9.3476051241223962E-2</v>
      </c>
      <c r="S256" s="29">
        <f>L256/$L$265</f>
        <v>9.4554486126206996E-2</v>
      </c>
      <c r="T256" s="29"/>
      <c r="V256" s="225">
        <f>B256*1000000/$V$254</f>
        <v>52.703225675042603</v>
      </c>
      <c r="W256" s="225">
        <f>F256*1000000/$W$254</f>
        <v>64.585520873432543</v>
      </c>
      <c r="X256" s="225">
        <f>H256*1000000/$X$254</f>
        <v>67.360520309176735</v>
      </c>
      <c r="Y256" s="225">
        <f>L256*1000000/$Y$254</f>
        <v>71.742264146768207</v>
      </c>
      <c r="Z256" s="144">
        <f>(Y256-V256)/V256</f>
        <v>0.36124996578229296</v>
      </c>
      <c r="AA256" s="144"/>
    </row>
    <row r="257" spans="1:27">
      <c r="A257" s="2" t="s">
        <v>5</v>
      </c>
      <c r="B257" s="9">
        <f>B16</f>
        <v>110.6</v>
      </c>
      <c r="C257" s="9"/>
      <c r="D257" s="9">
        <f>B57</f>
        <v>132.6</v>
      </c>
      <c r="E257" s="29">
        <f t="shared" ref="E257:E271" si="3">(D257-B257)/B257</f>
        <v>0.19891500904159132</v>
      </c>
      <c r="F257" s="9">
        <f>B99</f>
        <v>139.6</v>
      </c>
      <c r="G257" s="29">
        <f t="shared" ref="G257:G265" si="4">(F257-B257)/B257</f>
        <v>0.26220614828209765</v>
      </c>
      <c r="H257" s="9">
        <f>B140</f>
        <v>149.19999999999999</v>
      </c>
      <c r="I257" s="29">
        <f t="shared" ref="I257:I265" si="5">(H257-B257)/B257</f>
        <v>0.34900542495479203</v>
      </c>
      <c r="J257" s="9">
        <f>B181</f>
        <v>152.30000000000001</v>
      </c>
      <c r="K257" s="29">
        <f t="shared" ref="K257:K265" si="6">(J257-B257)/B257</f>
        <v>0.37703435804701646</v>
      </c>
      <c r="L257" s="9">
        <f>B223</f>
        <v>154.80000000000001</v>
      </c>
      <c r="M257" s="29">
        <f t="shared" ref="M257:M265" si="7">(L257-B257)/B257</f>
        <v>0.39963833634719725</v>
      </c>
      <c r="N257" s="29">
        <f t="shared" si="0"/>
        <v>0.15234600449875271</v>
      </c>
      <c r="O257" s="29">
        <f t="shared" si="1"/>
        <v>0.15670609924719617</v>
      </c>
      <c r="P257" s="29">
        <f t="shared" si="2"/>
        <v>0.1596424010217114</v>
      </c>
      <c r="Q257" s="29">
        <f t="shared" ref="Q257:Q265" si="8">H257/$H$265</f>
        <v>0.16686526466441468</v>
      </c>
      <c r="R257" s="29">
        <f t="shared" ref="R257:R265" si="9">J257/$J$265</f>
        <v>0.16446617476126055</v>
      </c>
      <c r="S257" s="29">
        <f t="shared" ref="S257:S265" si="10">L257/$L$265</f>
        <v>0.16123899879747791</v>
      </c>
      <c r="T257" s="29"/>
      <c r="V257" s="225">
        <f>B257*1000000/$V$254</f>
        <v>93.864360058932562</v>
      </c>
      <c r="W257" s="225">
        <f>F257*1000000/$W$254</f>
        <v>114.33906939791798</v>
      </c>
      <c r="X257" s="225">
        <f t="shared" ref="X257:X265" si="11">H257*1000000/$X$254</f>
        <v>120.93427400529129</v>
      </c>
      <c r="Y257" s="225">
        <f t="shared" ref="Y257:Y271" si="12">L257*1000000/$Y$254</f>
        <v>122.33846659638264</v>
      </c>
      <c r="Z257" s="144">
        <f t="shared" ref="Z257:Z271" si="13">(Y257-V257)/V257</f>
        <v>0.3033537598250568</v>
      </c>
      <c r="AA257" s="144"/>
    </row>
    <row r="258" spans="1:27">
      <c r="A258" s="2" t="s">
        <v>6</v>
      </c>
      <c r="B258" s="9">
        <f>B18</f>
        <v>27.9</v>
      </c>
      <c r="C258" s="9"/>
      <c r="D258" s="9">
        <f>B59</f>
        <v>35.1</v>
      </c>
      <c r="E258" s="29">
        <f t="shared" si="3"/>
        <v>0.25806451612903236</v>
      </c>
      <c r="F258" s="9">
        <f>B101</f>
        <v>33</v>
      </c>
      <c r="G258" s="29">
        <f t="shared" si="4"/>
        <v>0.18279569892473124</v>
      </c>
      <c r="H258" s="9">
        <f>B142</f>
        <v>34.200000000000003</v>
      </c>
      <c r="I258" s="29">
        <f t="shared" si="5"/>
        <v>0.22580645161290339</v>
      </c>
      <c r="J258" s="9">
        <f>B183</f>
        <v>37.700000000000003</v>
      </c>
      <c r="K258" s="29">
        <f t="shared" si="6"/>
        <v>0.3512544802867385</v>
      </c>
      <c r="L258" s="9">
        <f>B225</f>
        <v>38</v>
      </c>
      <c r="M258" s="29">
        <f t="shared" si="7"/>
        <v>0.36200716845878145</v>
      </c>
      <c r="N258" s="29">
        <f t="shared" si="0"/>
        <v>3.8430863702669078E-2</v>
      </c>
      <c r="O258" s="29">
        <f t="shared" si="1"/>
        <v>4.148102627131664E-2</v>
      </c>
      <c r="P258" s="29">
        <f t="shared" si="2"/>
        <v>3.7737816860433211E-2</v>
      </c>
      <c r="Q258" s="29">
        <f t="shared" si="8"/>
        <v>3.8249276484738491E-2</v>
      </c>
      <c r="R258" s="29">
        <f t="shared" si="9"/>
        <v>4.0711587580430225E-2</v>
      </c>
      <c r="S258" s="29">
        <f t="shared" si="10"/>
        <v>3.9580632779742636E-2</v>
      </c>
      <c r="T258" s="29"/>
      <c r="V258" s="225">
        <f>B258*1000000/$V$254</f>
        <v>23.678260810526389</v>
      </c>
      <c r="W258" s="225">
        <f>F258*1000000/$W$254</f>
        <v>27.028576576871728</v>
      </c>
      <c r="X258" s="225">
        <f t="shared" si="11"/>
        <v>27.720859054832182</v>
      </c>
      <c r="Y258" s="225">
        <f t="shared" si="12"/>
        <v>30.03140652882778</v>
      </c>
      <c r="Z258" s="144">
        <f t="shared" si="13"/>
        <v>0.26831133287783709</v>
      </c>
      <c r="AA258" s="144"/>
    </row>
    <row r="259" spans="1:27">
      <c r="A259" s="2" t="s">
        <v>478</v>
      </c>
      <c r="B259" s="9">
        <f>B21</f>
        <v>81.144000000000005</v>
      </c>
      <c r="C259" s="9"/>
      <c r="D259" s="9">
        <f>B62</f>
        <v>91.358999999999995</v>
      </c>
      <c r="E259" s="29">
        <f t="shared" si="3"/>
        <v>0.12588731144631751</v>
      </c>
      <c r="F259" s="9">
        <f>B104</f>
        <v>92.600000000000009</v>
      </c>
      <c r="G259" s="29">
        <f t="shared" si="4"/>
        <v>0.14118111012520954</v>
      </c>
      <c r="H259" s="9">
        <f>B145</f>
        <v>85.5</v>
      </c>
      <c r="I259" s="29">
        <f t="shared" si="5"/>
        <v>5.3682342502218205E-2</v>
      </c>
      <c r="J259" s="9">
        <f>B188</f>
        <v>83.9</v>
      </c>
      <c r="K259" s="29">
        <f t="shared" si="6"/>
        <v>3.3964310361825893E-2</v>
      </c>
      <c r="L259" s="9">
        <f>B230</f>
        <v>78</v>
      </c>
      <c r="M259" s="29">
        <f t="shared" si="7"/>
        <v>-3.8745933155871111E-2</v>
      </c>
      <c r="N259" s="29">
        <f t="shared" si="0"/>
        <v>0.11177182811073047</v>
      </c>
      <c r="O259" s="29">
        <f t="shared" si="1"/>
        <v>0.10796766607182952</v>
      </c>
      <c r="P259" s="29">
        <f t="shared" si="2"/>
        <v>0.10589460125079138</v>
      </c>
      <c r="Q259" s="29">
        <f t="shared" si="8"/>
        <v>9.5623191211846231E-2</v>
      </c>
      <c r="R259" s="29">
        <f t="shared" si="9"/>
        <v>9.0602180318251874E-2</v>
      </c>
      <c r="S259" s="29">
        <f t="shared" si="10"/>
        <v>8.1244456758419098E-2</v>
      </c>
      <c r="T259" s="29"/>
      <c r="V259" s="225">
        <f t="shared" ref="V259:V264" si="14">B259*1000000/$V$254</f>
        <v>68.865548215388998</v>
      </c>
      <c r="W259" s="225">
        <f t="shared" ref="W259:W264" si="15">F259*1000000/$W$254</f>
        <v>75.843823970252203</v>
      </c>
      <c r="X259" s="225">
        <f t="shared" si="11"/>
        <v>69.302147637080452</v>
      </c>
      <c r="Y259" s="225">
        <f t="shared" si="12"/>
        <v>61.643413401278075</v>
      </c>
      <c r="Z259" s="144">
        <f t="shared" si="13"/>
        <v>-0.1048729735153264</v>
      </c>
      <c r="AA259" s="144"/>
    </row>
    <row r="260" spans="1:27">
      <c r="A260" s="2" t="s">
        <v>326</v>
      </c>
      <c r="B260" s="9">
        <f>B25</f>
        <v>155.9</v>
      </c>
      <c r="C260" s="9"/>
      <c r="D260" s="9">
        <f>B66</f>
        <v>176.9</v>
      </c>
      <c r="E260" s="29">
        <f t="shared" si="3"/>
        <v>0.13470173187940987</v>
      </c>
      <c r="F260" s="9">
        <f>B108</f>
        <v>187.8</v>
      </c>
      <c r="G260" s="29">
        <f t="shared" si="4"/>
        <v>0.20461834509300836</v>
      </c>
      <c r="H260" s="9">
        <f>B149</f>
        <v>195</v>
      </c>
      <c r="I260" s="29">
        <f t="shared" si="5"/>
        <v>0.25080179602309166</v>
      </c>
      <c r="J260" s="9">
        <f>B191</f>
        <v>193.79999999999998</v>
      </c>
      <c r="K260" s="29">
        <f t="shared" si="6"/>
        <v>0.243104554201411</v>
      </c>
      <c r="L260" s="9">
        <f>B233</f>
        <v>193.5</v>
      </c>
      <c r="M260" s="29">
        <f t="shared" si="7"/>
        <v>0.24118024374599098</v>
      </c>
      <c r="N260" s="131">
        <f t="shared" si="0"/>
        <v>0.21474450362889283</v>
      </c>
      <c r="O260" s="131">
        <f t="shared" si="1"/>
        <v>0.20905964522495479</v>
      </c>
      <c r="P260" s="29">
        <f t="shared" si="2"/>
        <v>0.21476248504210174</v>
      </c>
      <c r="Q260" s="29">
        <f t="shared" si="8"/>
        <v>0.21808797995684226</v>
      </c>
      <c r="R260" s="29">
        <f t="shared" si="9"/>
        <v>0.20928131758852456</v>
      </c>
      <c r="S260" s="29">
        <f t="shared" si="10"/>
        <v>0.20154874849684737</v>
      </c>
      <c r="T260" s="29"/>
      <c r="V260" s="225">
        <f t="shared" si="14"/>
        <v>132.30970825666896</v>
      </c>
      <c r="W260" s="225">
        <f t="shared" si="15"/>
        <v>153.81717215565183</v>
      </c>
      <c r="X260" s="225">
        <f t="shared" si="11"/>
        <v>158.05752969860455</v>
      </c>
      <c r="Y260" s="225">
        <f t="shared" si="12"/>
        <v>152.9230832454783</v>
      </c>
      <c r="Z260" s="144">
        <f t="shared" si="13"/>
        <v>0.15579639060817249</v>
      </c>
      <c r="AA260" s="144"/>
    </row>
    <row r="261" spans="1:27">
      <c r="A261" s="2" t="s">
        <v>327</v>
      </c>
      <c r="B261" s="9">
        <f>B26</f>
        <v>75.734999999999999</v>
      </c>
      <c r="C261" s="9"/>
      <c r="D261" s="9">
        <f>B67</f>
        <v>94.765000000000015</v>
      </c>
      <c r="E261" s="29">
        <f t="shared" si="3"/>
        <v>0.25127087872185933</v>
      </c>
      <c r="F261" s="9">
        <f>B109</f>
        <v>99.000000000000014</v>
      </c>
      <c r="G261" s="29">
        <f t="shared" si="4"/>
        <v>0.30718954248366032</v>
      </c>
      <c r="H261" s="9">
        <f>B150</f>
        <v>102.63000000000001</v>
      </c>
      <c r="I261" s="29">
        <f t="shared" si="5"/>
        <v>0.35511982570806117</v>
      </c>
      <c r="J261" s="9">
        <f>B192</f>
        <v>110.86499999999999</v>
      </c>
      <c r="K261" s="29">
        <f t="shared" si="6"/>
        <v>0.46385422856011088</v>
      </c>
      <c r="L261" s="9">
        <f>B234</f>
        <v>117.587</v>
      </c>
      <c r="M261" s="29">
        <f t="shared" si="7"/>
        <v>0.55261107810127419</v>
      </c>
      <c r="N261" s="29">
        <f t="shared" si="0"/>
        <v>0.10432119937353559</v>
      </c>
      <c r="O261" s="29">
        <f t="shared" si="1"/>
        <v>0.1119928619544536</v>
      </c>
      <c r="P261" s="29">
        <f t="shared" si="2"/>
        <v>0.11321345058129964</v>
      </c>
      <c r="Q261" s="29">
        <f t="shared" si="8"/>
        <v>0.11478138145113193</v>
      </c>
      <c r="R261" s="29">
        <f t="shared" si="9"/>
        <v>0.11972122432637655</v>
      </c>
      <c r="S261" s="29">
        <f t="shared" si="10"/>
        <v>0.12247810175451572</v>
      </c>
      <c r="T261" s="29"/>
      <c r="V261" s="225">
        <f t="shared" si="14"/>
        <v>64.275020877606309</v>
      </c>
      <c r="W261" s="225">
        <f t="shared" si="15"/>
        <v>81.085729730615199</v>
      </c>
      <c r="X261" s="225">
        <f t="shared" si="11"/>
        <v>83.186893707527119</v>
      </c>
      <c r="Y261" s="225">
        <f t="shared" si="12"/>
        <v>92.929026302770325</v>
      </c>
      <c r="Z261" s="144">
        <f t="shared" si="13"/>
        <v>0.44580312902157598</v>
      </c>
      <c r="AA261" s="144"/>
    </row>
    <row r="262" spans="1:27">
      <c r="A262" s="2" t="s">
        <v>491</v>
      </c>
      <c r="B262" s="9">
        <f>B260+B261</f>
        <v>231.63499999999999</v>
      </c>
      <c r="C262" s="9"/>
      <c r="D262" s="9">
        <f>D260+D261</f>
        <v>271.66500000000002</v>
      </c>
      <c r="E262" s="29">
        <f t="shared" si="3"/>
        <v>0.17281498909922952</v>
      </c>
      <c r="F262" s="9">
        <f>B110</f>
        <v>286.8</v>
      </c>
      <c r="G262" s="29">
        <f t="shared" si="4"/>
        <v>0.23815485569970005</v>
      </c>
      <c r="H262" s="9">
        <f>B151</f>
        <v>297.63</v>
      </c>
      <c r="I262" s="29">
        <f t="shared" si="5"/>
        <v>0.28490944805405061</v>
      </c>
      <c r="J262" s="9">
        <f>B193</f>
        <v>304.66499999999996</v>
      </c>
      <c r="K262" s="29">
        <f t="shared" si="6"/>
        <v>0.31528050596844165</v>
      </c>
      <c r="L262" s="9">
        <f>B235</f>
        <v>311.08699999999999</v>
      </c>
      <c r="M262" s="29">
        <f t="shared" si="7"/>
        <v>0.34300515897856543</v>
      </c>
      <c r="N262" s="29">
        <f t="shared" si="0"/>
        <v>0.31906570300242842</v>
      </c>
      <c r="O262" s="29">
        <f t="shared" si="1"/>
        <v>0.32105250717940836</v>
      </c>
      <c r="P262" s="29">
        <f t="shared" si="2"/>
        <v>0.32797593562340138</v>
      </c>
      <c r="Q262" s="29">
        <f t="shared" si="8"/>
        <v>0.33286936140797418</v>
      </c>
      <c r="R262" s="29">
        <f t="shared" si="9"/>
        <v>0.32900254191490108</v>
      </c>
      <c r="S262" s="29">
        <f t="shared" si="10"/>
        <v>0.32402685025136307</v>
      </c>
      <c r="T262" s="29"/>
      <c r="V262" s="225">
        <f t="shared" si="14"/>
        <v>196.58472913427525</v>
      </c>
      <c r="W262" s="225">
        <f t="shared" si="15"/>
        <v>234.90290188626702</v>
      </c>
      <c r="X262" s="225">
        <f t="shared" si="11"/>
        <v>241.24442340613166</v>
      </c>
      <c r="Y262" s="225">
        <f t="shared" si="12"/>
        <v>245.85210954824862</v>
      </c>
      <c r="Z262" s="144">
        <f t="shared" si="13"/>
        <v>0.25061651854108047</v>
      </c>
      <c r="AA262" s="144"/>
    </row>
    <row r="263" spans="1:27">
      <c r="A263" s="2" t="s">
        <v>369</v>
      </c>
      <c r="B263" s="9">
        <f>B29</f>
        <v>95.6</v>
      </c>
      <c r="C263" s="9"/>
      <c r="D263" s="9">
        <f>B71</f>
        <v>116.7</v>
      </c>
      <c r="E263" s="29">
        <f t="shared" si="3"/>
        <v>0.2207112970711298</v>
      </c>
      <c r="F263" s="9">
        <f>B113</f>
        <v>110.6</v>
      </c>
      <c r="G263" s="29">
        <f t="shared" si="4"/>
        <v>0.15690376569037659</v>
      </c>
      <c r="H263" s="9">
        <f>B156</f>
        <v>106.5</v>
      </c>
      <c r="I263" s="29">
        <f t="shared" si="5"/>
        <v>0.1140167364016737</v>
      </c>
      <c r="J263" s="9">
        <f>B198</f>
        <v>108.9</v>
      </c>
      <c r="K263" s="29">
        <f t="shared" si="6"/>
        <v>0.13912133891213402</v>
      </c>
      <c r="L263" s="9">
        <f>B240</f>
        <v>116.4</v>
      </c>
      <c r="M263" s="29">
        <f t="shared" si="7"/>
        <v>0.2175732217573223</v>
      </c>
      <c r="N263" s="29">
        <f t="shared" si="0"/>
        <v>0.13168424981989835</v>
      </c>
      <c r="O263" s="29">
        <f t="shared" si="1"/>
        <v>0.13791554888497581</v>
      </c>
      <c r="P263" s="29">
        <f t="shared" si="2"/>
        <v>0.12647886499284583</v>
      </c>
      <c r="Q263" s="29">
        <f t="shared" si="8"/>
        <v>0.11910958905335231</v>
      </c>
      <c r="R263" s="29">
        <f t="shared" si="9"/>
        <v>0.1175992543105796</v>
      </c>
      <c r="S263" s="29">
        <f t="shared" si="10"/>
        <v>0.1212417277779485</v>
      </c>
      <c r="T263" s="29"/>
      <c r="V263" s="225">
        <f t="shared" si="14"/>
        <v>81.134112311337731</v>
      </c>
      <c r="W263" s="225">
        <f t="shared" si="15"/>
        <v>90.586683921273135</v>
      </c>
      <c r="X263" s="225">
        <f t="shared" si="11"/>
        <v>86.323727758468635</v>
      </c>
      <c r="Y263" s="225">
        <f t="shared" si="12"/>
        <v>91.990939998830356</v>
      </c>
      <c r="Z263" s="144">
        <f t="shared" si="13"/>
        <v>0.13381335394206914</v>
      </c>
      <c r="AA263" s="144"/>
    </row>
    <row r="264" spans="1:27">
      <c r="A264" s="2" t="s">
        <v>180</v>
      </c>
      <c r="B264" s="9">
        <f>B36</f>
        <v>117</v>
      </c>
      <c r="C264" s="9"/>
      <c r="D264" s="9">
        <f>B77</f>
        <v>125</v>
      </c>
      <c r="E264" s="29">
        <f t="shared" si="3"/>
        <v>6.8376068376068383E-2</v>
      </c>
      <c r="F264" s="9">
        <f>B119</f>
        <v>133</v>
      </c>
      <c r="G264" s="29">
        <f t="shared" si="4"/>
        <v>0.13675213675213677</v>
      </c>
      <c r="H264" s="9">
        <f>B160</f>
        <v>138</v>
      </c>
      <c r="I264" s="29">
        <f t="shared" si="5"/>
        <v>0.17948717948717949</v>
      </c>
      <c r="J264" s="9">
        <f>B202</f>
        <v>152</v>
      </c>
      <c r="K264" s="29">
        <f t="shared" si="6"/>
        <v>0.29914529914529914</v>
      </c>
      <c r="L264" s="9">
        <f>B244</f>
        <v>171</v>
      </c>
      <c r="M264" s="29">
        <f t="shared" si="7"/>
        <v>0.46153846153846156</v>
      </c>
      <c r="N264" s="29">
        <f t="shared" si="0"/>
        <v>0.1611616864950639</v>
      </c>
      <c r="O264" s="29">
        <f t="shared" si="1"/>
        <v>0.1477244525331789</v>
      </c>
      <c r="P264" s="29">
        <f t="shared" si="2"/>
        <v>0.15209483764962475</v>
      </c>
      <c r="Q264" s="29">
        <f t="shared" si="8"/>
        <v>0.15433918581561146</v>
      </c>
      <c r="R264" s="29">
        <f t="shared" si="9"/>
        <v>0.16414220987335262</v>
      </c>
      <c r="S264" s="29">
        <f t="shared" si="10"/>
        <v>0.17811284750884185</v>
      </c>
      <c r="T264" s="29"/>
      <c r="V264" s="225">
        <f t="shared" si="14"/>
        <v>99.295932431239692</v>
      </c>
      <c r="W264" s="225">
        <f t="shared" si="15"/>
        <v>108.93335408254363</v>
      </c>
      <c r="X264" s="225">
        <f t="shared" si="11"/>
        <v>111.85609794055091</v>
      </c>
      <c r="Y264" s="225">
        <f t="shared" si="12"/>
        <v>135.14132937972499</v>
      </c>
      <c r="Z264" s="144">
        <f t="shared" si="13"/>
        <v>0.3609956225881405</v>
      </c>
      <c r="AA264" s="144"/>
    </row>
    <row r="265" spans="1:27" ht="15.75">
      <c r="B265" s="17">
        <f>SUM(B256:B264)-B262</f>
        <v>725.97900000000004</v>
      </c>
      <c r="C265" s="17"/>
      <c r="D265" s="17">
        <f>SUM(D256:D264)-D262</f>
        <v>846.17000000000007</v>
      </c>
      <c r="E265" s="123">
        <f t="shared" si="3"/>
        <v>0.16555713044041223</v>
      </c>
      <c r="F265" s="17">
        <f>SUM(F256:F264)-F262</f>
        <v>874.45439999999985</v>
      </c>
      <c r="G265" s="123">
        <f t="shared" si="4"/>
        <v>0.20451748604298445</v>
      </c>
      <c r="H265" s="17">
        <f>SUM(H256:H264)-H262</f>
        <v>894.13456000000008</v>
      </c>
      <c r="I265" s="123">
        <f t="shared" si="5"/>
        <v>0.23162592857369158</v>
      </c>
      <c r="J265" s="17">
        <f>SUM(J256:J264)-J262</f>
        <v>926.02628000000004</v>
      </c>
      <c r="K265" s="29">
        <f t="shared" si="6"/>
        <v>0.27555518823547237</v>
      </c>
      <c r="L265" s="17">
        <f>SUM(L256:L264)-L262</f>
        <v>960.06549999999993</v>
      </c>
      <c r="M265" s="29">
        <f t="shared" si="7"/>
        <v>0.32244252244210903</v>
      </c>
      <c r="N265" s="29">
        <f t="shared" si="0"/>
        <v>1</v>
      </c>
      <c r="O265" s="29">
        <f t="shared" si="1"/>
        <v>1</v>
      </c>
      <c r="P265" s="29">
        <f t="shared" si="2"/>
        <v>1</v>
      </c>
      <c r="Q265" s="29">
        <f t="shared" si="8"/>
        <v>1</v>
      </c>
      <c r="R265" s="29">
        <f t="shared" si="9"/>
        <v>1</v>
      </c>
      <c r="S265" s="29">
        <f t="shared" si="10"/>
        <v>1</v>
      </c>
      <c r="T265" s="29"/>
      <c r="V265" s="225">
        <f>B265*1000000/$V$254</f>
        <v>616.12616863674327</v>
      </c>
      <c r="W265" s="225">
        <f>F265*1000000/$W$254</f>
        <v>716.21993070855808</v>
      </c>
      <c r="X265" s="225">
        <f t="shared" si="11"/>
        <v>724.74205011153197</v>
      </c>
      <c r="Y265" s="225">
        <f t="shared" si="12"/>
        <v>758.73992960006058</v>
      </c>
      <c r="Z265" s="144">
        <f t="shared" si="13"/>
        <v>0.2314684365360884</v>
      </c>
      <c r="AA265" s="144"/>
    </row>
    <row r="266" spans="1:27" ht="15.75">
      <c r="B266" s="17"/>
      <c r="C266" s="17"/>
      <c r="D266" s="17"/>
      <c r="E266" s="123"/>
      <c r="F266" s="17"/>
      <c r="G266" s="29"/>
      <c r="I266" s="29"/>
      <c r="J266" s="29"/>
      <c r="K266" s="29"/>
      <c r="L266" s="29"/>
      <c r="M266" s="29"/>
      <c r="N266" s="29"/>
      <c r="O266" s="29"/>
      <c r="V266" s="272"/>
      <c r="W266" s="272"/>
      <c r="Y266" s="225"/>
      <c r="Z266" s="144"/>
      <c r="AA266" s="144"/>
    </row>
    <row r="267" spans="1:27" ht="15.75">
      <c r="A267" s="4" t="s">
        <v>743</v>
      </c>
      <c r="E267" s="24" t="s">
        <v>181</v>
      </c>
      <c r="F267" s="1"/>
      <c r="G267" s="24" t="s">
        <v>514</v>
      </c>
      <c r="I267" s="41" t="s">
        <v>689</v>
      </c>
      <c r="J267" s="41"/>
      <c r="K267" s="42" t="s">
        <v>823</v>
      </c>
      <c r="L267" s="41"/>
      <c r="M267" s="42" t="s">
        <v>824</v>
      </c>
      <c r="V267" s="272"/>
      <c r="W267" s="272"/>
      <c r="Y267" s="225"/>
      <c r="Z267" s="144"/>
      <c r="AA267" s="144"/>
    </row>
    <row r="268" spans="1:27" ht="15.75">
      <c r="A268" s="2" t="s">
        <v>492</v>
      </c>
      <c r="B268" s="9">
        <f>B260</f>
        <v>155.9</v>
      </c>
      <c r="D268" s="9">
        <f>D260</f>
        <v>176.9</v>
      </c>
      <c r="E268" s="123">
        <f t="shared" si="3"/>
        <v>0.13470173187940987</v>
      </c>
      <c r="F268" s="9">
        <f>F260</f>
        <v>187.8</v>
      </c>
      <c r="G268" s="123">
        <f>(F268-B268)/B268</f>
        <v>0.20461834509300836</v>
      </c>
      <c r="H268" s="9">
        <f>H260</f>
        <v>195</v>
      </c>
      <c r="I268" s="123">
        <f>(H268-B268)/B268</f>
        <v>0.25080179602309166</v>
      </c>
      <c r="J268" s="9">
        <f t="shared" ref="J268" si="16">J260</f>
        <v>193.79999999999998</v>
      </c>
      <c r="K268" s="123">
        <f>(J268-B268)/B268</f>
        <v>0.243104554201411</v>
      </c>
      <c r="L268" s="9">
        <f t="shared" ref="L268" si="17">L260</f>
        <v>193.5</v>
      </c>
      <c r="M268" s="123">
        <f>(L268-B268)/B268</f>
        <v>0.24118024374599098</v>
      </c>
      <c r="V268" s="225">
        <f>B268*1000000/$V$254</f>
        <v>132.30970825666896</v>
      </c>
      <c r="W268" s="225">
        <f>F268*1000000/$W$254</f>
        <v>153.81717215565183</v>
      </c>
      <c r="X268" s="225">
        <f>H268*1000000/$X$254</f>
        <v>158.05752969860455</v>
      </c>
      <c r="Y268" s="225">
        <f t="shared" si="12"/>
        <v>152.9230832454783</v>
      </c>
      <c r="Z268" s="144">
        <f t="shared" si="13"/>
        <v>0.15579639060817249</v>
      </c>
      <c r="AA268" s="144"/>
    </row>
    <row r="269" spans="1:27" ht="15.75">
      <c r="A269" s="2" t="s">
        <v>493</v>
      </c>
      <c r="B269" s="9">
        <f>B262</f>
        <v>231.63499999999999</v>
      </c>
      <c r="D269" s="9">
        <f>D262</f>
        <v>271.66500000000002</v>
      </c>
      <c r="E269" s="123">
        <f t="shared" si="3"/>
        <v>0.17281498909922952</v>
      </c>
      <c r="F269" s="9">
        <f>F262</f>
        <v>286.8</v>
      </c>
      <c r="G269" s="123">
        <f>(F269-B269)/B269</f>
        <v>0.23815485569970005</v>
      </c>
      <c r="H269" s="9">
        <f>H262</f>
        <v>297.63</v>
      </c>
      <c r="I269" s="123">
        <f>(H269-B269)/B269</f>
        <v>0.28490944805405061</v>
      </c>
      <c r="J269" s="9">
        <f t="shared" ref="J269" si="18">J262</f>
        <v>304.66499999999996</v>
      </c>
      <c r="K269" s="123">
        <f t="shared" ref="K269:K271" si="19">(J269-B269)/B269</f>
        <v>0.31528050596844165</v>
      </c>
      <c r="L269" s="9">
        <f t="shared" ref="L269" si="20">L262</f>
        <v>311.08699999999999</v>
      </c>
      <c r="M269" s="123">
        <f t="shared" ref="M269:M271" si="21">(L269-B269)/B269</f>
        <v>0.34300515897856543</v>
      </c>
      <c r="V269" s="225">
        <f>B269*1000000/$V$254</f>
        <v>196.58472913427525</v>
      </c>
      <c r="W269" s="225">
        <f>F269*1000000/$W$254</f>
        <v>234.90290188626702</v>
      </c>
      <c r="X269" s="225">
        <f>H269*1000000/$X$254</f>
        <v>241.24442340613166</v>
      </c>
      <c r="Y269" s="225">
        <f t="shared" si="12"/>
        <v>245.85210954824862</v>
      </c>
      <c r="Z269" s="144">
        <f t="shared" si="13"/>
        <v>0.25061651854108047</v>
      </c>
      <c r="AA269" s="144"/>
    </row>
    <row r="270" spans="1:27" ht="15.75">
      <c r="A270" s="2" t="s">
        <v>373</v>
      </c>
      <c r="B270" s="9">
        <f>B265</f>
        <v>725.97900000000004</v>
      </c>
      <c r="D270" s="9">
        <f>D265</f>
        <v>846.17000000000007</v>
      </c>
      <c r="E270" s="123">
        <f t="shared" si="3"/>
        <v>0.16555713044041223</v>
      </c>
      <c r="F270" s="9">
        <f>F265</f>
        <v>874.45439999999985</v>
      </c>
      <c r="G270" s="123">
        <f>(F270-B270)/B270</f>
        <v>0.20451748604298445</v>
      </c>
      <c r="H270" s="9">
        <f>H265</f>
        <v>894.13456000000008</v>
      </c>
      <c r="I270" s="123">
        <f>(H270-B270)/B270</f>
        <v>0.23162592857369158</v>
      </c>
      <c r="J270" s="9">
        <f t="shared" ref="J270" si="22">J265</f>
        <v>926.02628000000004</v>
      </c>
      <c r="K270" s="123">
        <f t="shared" si="19"/>
        <v>0.27555518823547237</v>
      </c>
      <c r="L270" s="9">
        <f t="shared" ref="L270" si="23">L265</f>
        <v>960.06549999999993</v>
      </c>
      <c r="M270" s="123">
        <f t="shared" si="21"/>
        <v>0.32244252244210903</v>
      </c>
      <c r="V270" s="225">
        <f>B270*1000000/$V$254</f>
        <v>616.12616863674327</v>
      </c>
      <c r="W270" s="225">
        <f>F270*1000000/$W$254</f>
        <v>716.21993070855808</v>
      </c>
      <c r="X270" s="225">
        <f>H270*1000000/$X$254</f>
        <v>724.74205011153197</v>
      </c>
      <c r="Y270" s="225">
        <f t="shared" si="12"/>
        <v>758.73992960006058</v>
      </c>
      <c r="Z270" s="144">
        <f t="shared" si="13"/>
        <v>0.2314684365360884</v>
      </c>
      <c r="AA270" s="144"/>
    </row>
    <row r="271" spans="1:27" ht="26.25">
      <c r="A271" s="130" t="s">
        <v>383</v>
      </c>
      <c r="B271" s="9">
        <f>B270-B269</f>
        <v>494.34400000000005</v>
      </c>
      <c r="D271" s="9">
        <f>D270-D269</f>
        <v>574.50500000000011</v>
      </c>
      <c r="E271" s="123">
        <f t="shared" si="3"/>
        <v>0.16215631220364776</v>
      </c>
      <c r="F271" s="9">
        <f>F270-F269</f>
        <v>587.6543999999999</v>
      </c>
      <c r="G271" s="123">
        <f>(F271-B271)/B271</f>
        <v>0.18875600796206657</v>
      </c>
      <c r="H271" s="9">
        <f>H270-H269</f>
        <v>596.50456000000008</v>
      </c>
      <c r="I271" s="123">
        <f>(H271-B271)/B271</f>
        <v>0.20665884485297692</v>
      </c>
      <c r="J271" s="9">
        <f t="shared" ref="J271" si="24">J270-J269</f>
        <v>621.36128000000008</v>
      </c>
      <c r="K271" s="123">
        <f t="shared" si="19"/>
        <v>0.25694107746832168</v>
      </c>
      <c r="L271" s="9">
        <f t="shared" ref="L271" si="25">L270-L269</f>
        <v>648.97849999999994</v>
      </c>
      <c r="M271" s="123">
        <f t="shared" si="21"/>
        <v>0.31280747819332261</v>
      </c>
      <c r="V271" s="225">
        <f>B271*1000000/$V$254</f>
        <v>419.54143950246799</v>
      </c>
      <c r="W271" s="225">
        <f>F271*1000000/$W$254</f>
        <v>481.31702882229109</v>
      </c>
      <c r="X271" s="225">
        <f>H271*1000000/$X$254</f>
        <v>483.49762670540031</v>
      </c>
      <c r="Y271" s="225">
        <f t="shared" si="12"/>
        <v>512.88782005181201</v>
      </c>
      <c r="Z271" s="144">
        <f t="shared" si="13"/>
        <v>0.22249621076774442</v>
      </c>
      <c r="AA271" s="144"/>
    </row>
    <row r="274" spans="1:8" ht="15.75">
      <c r="A274" s="4" t="s">
        <v>374</v>
      </c>
      <c r="B274" s="24" t="s">
        <v>181</v>
      </c>
      <c r="D274" s="24" t="s">
        <v>514</v>
      </c>
      <c r="F274" s="2" t="s">
        <v>689</v>
      </c>
      <c r="G274" s="42" t="s">
        <v>823</v>
      </c>
      <c r="H274" s="42" t="s">
        <v>824</v>
      </c>
    </row>
    <row r="275" spans="1:8">
      <c r="A275" s="2" t="s">
        <v>493</v>
      </c>
      <c r="B275" s="29">
        <f>E269</f>
        <v>0.17281498909922952</v>
      </c>
      <c r="D275" s="29">
        <f>G269</f>
        <v>0.23815485569970005</v>
      </c>
      <c r="F275" s="29">
        <f>I269</f>
        <v>0.28490944805405061</v>
      </c>
      <c r="G275" s="29">
        <f>K269</f>
        <v>0.31528050596844165</v>
      </c>
      <c r="H275" s="29">
        <f>M269</f>
        <v>0.34300515897856543</v>
      </c>
    </row>
    <row r="276" spans="1:8">
      <c r="A276" s="2" t="s">
        <v>373</v>
      </c>
      <c r="B276" s="29">
        <f>E270</f>
        <v>0.16555713044041223</v>
      </c>
      <c r="D276" s="29">
        <f>G270</f>
        <v>0.20451748604298445</v>
      </c>
      <c r="F276" s="29">
        <f>I270</f>
        <v>0.23162592857369158</v>
      </c>
      <c r="G276" s="29">
        <f>K270</f>
        <v>0.27555518823547237</v>
      </c>
      <c r="H276" s="29">
        <f>M270</f>
        <v>0.32244252244210903</v>
      </c>
    </row>
    <row r="277" spans="1:8" ht="25.5">
      <c r="A277" s="130" t="s">
        <v>383</v>
      </c>
      <c r="B277" s="29">
        <f>E271</f>
        <v>0.16215631220364776</v>
      </c>
      <c r="D277" s="29">
        <f>G271</f>
        <v>0.18875600796206657</v>
      </c>
      <c r="F277" s="29">
        <f>I271</f>
        <v>0.20665884485297692</v>
      </c>
      <c r="G277" s="29">
        <f>K271</f>
        <v>0.25694107746832168</v>
      </c>
      <c r="H277" s="29">
        <f>M271</f>
        <v>0.31280747819332261</v>
      </c>
    </row>
    <row r="280" spans="1:8">
      <c r="A280" t="s">
        <v>384</v>
      </c>
    </row>
    <row r="281" spans="1:8">
      <c r="A281" s="39"/>
      <c r="B281" s="39"/>
      <c r="C281" s="39"/>
      <c r="D281" s="39"/>
      <c r="E281" s="39"/>
    </row>
    <row r="282" spans="1:8">
      <c r="A282" s="39" t="s">
        <v>396</v>
      </c>
      <c r="B282" s="39"/>
      <c r="C282" s="39"/>
      <c r="D282" s="39"/>
      <c r="E282" s="39"/>
    </row>
    <row r="283" spans="1:8">
      <c r="A283" s="106" t="s">
        <v>472</v>
      </c>
      <c r="B283" s="39"/>
      <c r="C283" s="39"/>
      <c r="D283" s="39"/>
      <c r="E283" s="39"/>
    </row>
    <row r="284" spans="1:8">
      <c r="A284" s="106" t="s">
        <v>475</v>
      </c>
      <c r="B284" s="39"/>
      <c r="C284" s="39"/>
      <c r="D284" s="39"/>
      <c r="E284" s="39"/>
    </row>
    <row r="285" spans="1:8">
      <c r="A285" s="106" t="s">
        <v>573</v>
      </c>
      <c r="B285" s="39"/>
      <c r="C285" s="39"/>
      <c r="D285" s="39"/>
      <c r="E285" s="39"/>
    </row>
    <row r="286" spans="1:8">
      <c r="A286" s="106" t="s">
        <v>673</v>
      </c>
      <c r="B286" s="39"/>
      <c r="C286" s="39"/>
      <c r="D286" s="39"/>
      <c r="E286" s="39"/>
    </row>
    <row r="287" spans="1:8">
      <c r="A287" s="52" t="s">
        <v>760</v>
      </c>
    </row>
    <row r="288" spans="1:8">
      <c r="A288" s="274" t="s">
        <v>773</v>
      </c>
    </row>
    <row r="289" spans="1:4">
      <c r="A289" s="274" t="s">
        <v>790</v>
      </c>
    </row>
    <row r="290" spans="1:4">
      <c r="A290" s="283" t="s">
        <v>820</v>
      </c>
      <c r="B290" s="136"/>
      <c r="C290" s="136"/>
      <c r="D290" s="136"/>
    </row>
  </sheetData>
  <mergeCells count="4">
    <mergeCell ref="Z254:AB254"/>
    <mergeCell ref="E141:O141"/>
    <mergeCell ref="E182:O182"/>
    <mergeCell ref="E224:O224"/>
  </mergeCells>
  <hyperlinks>
    <hyperlink ref="V59" r:id="rId1"/>
    <hyperlink ref="W71" r:id="rId2"/>
    <hyperlink ref="V95" r:id="rId3"/>
    <hyperlink ref="V113" r:id="rId4"/>
    <hyperlink ref="V154" r:id="rId5"/>
  </hyperlinks>
  <pageMargins left="0.70866141732283472" right="0.70866141732283472" top="0.74803149606299213" bottom="0.74803149606299213" header="0.31496062992125984" footer="0.31496062992125984"/>
  <pageSetup scale="75" fitToWidth="2" orientation="landscape" verticalDpi="0" r:id="rId6"/>
  <legacyDrawing r:id="rId7"/>
</worksheet>
</file>

<file path=xl/worksheets/sheet3.xml><?xml version="1.0" encoding="utf-8"?>
<worksheet xmlns="http://schemas.openxmlformats.org/spreadsheetml/2006/main" xmlns:r="http://schemas.openxmlformats.org/officeDocument/2006/relationships">
  <sheetPr>
    <tabColor rgb="FFFF0000"/>
  </sheetPr>
  <dimension ref="A1:U99"/>
  <sheetViews>
    <sheetView topLeftCell="A10" workbookViewId="0">
      <selection activeCell="M43" sqref="M43"/>
    </sheetView>
  </sheetViews>
  <sheetFormatPr defaultRowHeight="12.75"/>
  <cols>
    <col min="1" max="1" width="39.28515625" customWidth="1"/>
    <col min="2" max="2" width="10.7109375" customWidth="1"/>
    <col min="3" max="3" width="2.7109375" customWidth="1"/>
    <col min="4" max="4" width="16.7109375" customWidth="1"/>
    <col min="13" max="13" width="2.7109375" customWidth="1"/>
  </cols>
  <sheetData>
    <row r="1" spans="1:21">
      <c r="B1" s="284" t="s">
        <v>171</v>
      </c>
      <c r="C1" s="284"/>
    </row>
    <row r="2" spans="1:21">
      <c r="B2" s="284" t="s">
        <v>824</v>
      </c>
      <c r="C2" s="284"/>
    </row>
    <row r="3" spans="1:21">
      <c r="B3" s="284" t="s">
        <v>16</v>
      </c>
      <c r="C3" s="284"/>
      <c r="E3" s="2" t="s">
        <v>59</v>
      </c>
      <c r="N3" s="2" t="s">
        <v>92</v>
      </c>
    </row>
    <row r="4" spans="1:21">
      <c r="A4" s="2" t="s">
        <v>11</v>
      </c>
      <c r="B4" s="2"/>
    </row>
    <row r="6" spans="1:21">
      <c r="A6" t="s">
        <v>0</v>
      </c>
      <c r="B6" s="9">
        <v>720</v>
      </c>
      <c r="C6" s="46"/>
      <c r="D6" s="281" t="s">
        <v>870</v>
      </c>
      <c r="E6" t="s">
        <v>811</v>
      </c>
      <c r="N6" s="110" t="s">
        <v>810</v>
      </c>
      <c r="O6" s="103"/>
      <c r="P6" s="103"/>
      <c r="Q6" s="103"/>
      <c r="R6" s="103"/>
      <c r="S6" s="103"/>
      <c r="T6" s="103"/>
      <c r="U6" s="103"/>
    </row>
    <row r="7" spans="1:21">
      <c r="A7" t="s">
        <v>1</v>
      </c>
      <c r="B7" s="9">
        <v>1295</v>
      </c>
      <c r="C7" s="46"/>
      <c r="D7" s="281" t="s">
        <v>870</v>
      </c>
      <c r="E7" t="s">
        <v>811</v>
      </c>
      <c r="I7" t="s">
        <v>93</v>
      </c>
      <c r="N7" s="103" t="s">
        <v>752</v>
      </c>
      <c r="O7" s="103"/>
      <c r="P7" s="103"/>
      <c r="Q7" s="103"/>
      <c r="R7" s="103"/>
      <c r="S7" s="103"/>
      <c r="T7" s="103"/>
      <c r="U7" s="103"/>
    </row>
    <row r="8" spans="1:21">
      <c r="A8" t="s">
        <v>14</v>
      </c>
      <c r="B8" s="9">
        <v>110</v>
      </c>
      <c r="C8" s="45"/>
      <c r="D8" s="281" t="s">
        <v>870</v>
      </c>
      <c r="E8" t="s">
        <v>811</v>
      </c>
      <c r="N8" s="103"/>
      <c r="O8" s="103"/>
      <c r="P8" s="103"/>
      <c r="Q8" s="103"/>
      <c r="R8" s="103"/>
      <c r="S8" s="103"/>
      <c r="T8" s="103"/>
      <c r="U8" s="103"/>
    </row>
    <row r="9" spans="1:21">
      <c r="A9" t="s">
        <v>2</v>
      </c>
      <c r="B9" s="9">
        <v>6</v>
      </c>
      <c r="C9" s="45"/>
      <c r="D9" s="281" t="s">
        <v>870</v>
      </c>
      <c r="E9" t="s">
        <v>811</v>
      </c>
      <c r="N9" s="103"/>
      <c r="O9" s="103"/>
      <c r="P9" s="103"/>
      <c r="Q9" s="103"/>
      <c r="R9" s="103"/>
      <c r="S9" s="103"/>
      <c r="T9" s="103"/>
      <c r="U9" s="103"/>
    </row>
    <row r="10" spans="1:21">
      <c r="A10" s="52" t="s">
        <v>273</v>
      </c>
      <c r="B10" s="25"/>
      <c r="C10" s="45"/>
      <c r="D10" s="281" t="s">
        <v>870</v>
      </c>
      <c r="E10" t="s">
        <v>811</v>
      </c>
      <c r="N10" s="103"/>
      <c r="O10" s="103"/>
      <c r="P10" s="103"/>
      <c r="Q10" s="103"/>
      <c r="R10" s="103"/>
      <c r="S10" s="103"/>
      <c r="T10" s="103"/>
      <c r="U10" s="103"/>
    </row>
    <row r="11" spans="1:21">
      <c r="A11" t="s">
        <v>3</v>
      </c>
      <c r="B11" s="25">
        <v>145</v>
      </c>
      <c r="C11" s="46"/>
      <c r="D11" s="281" t="s">
        <v>870</v>
      </c>
      <c r="E11" t="s">
        <v>811</v>
      </c>
      <c r="N11" s="103"/>
      <c r="O11" s="103"/>
      <c r="P11" s="103"/>
      <c r="Q11" s="103"/>
      <c r="R11" s="103"/>
      <c r="S11" s="103"/>
      <c r="T11" s="103"/>
      <c r="U11" s="103"/>
    </row>
    <row r="12" spans="1:21">
      <c r="A12" t="s">
        <v>15</v>
      </c>
      <c r="B12" s="9">
        <f>'CAN Disability details 09-10'!B12*1.25</f>
        <v>245.625</v>
      </c>
      <c r="C12" s="46"/>
      <c r="D12" s="281" t="s">
        <v>870</v>
      </c>
      <c r="E12" s="248" t="s">
        <v>908</v>
      </c>
      <c r="F12" s="249"/>
      <c r="G12" s="249"/>
      <c r="H12" s="249"/>
      <c r="I12" s="30"/>
      <c r="J12" s="30"/>
      <c r="K12" s="30"/>
      <c r="L12" s="171"/>
      <c r="M12" s="171"/>
      <c r="N12" s="110"/>
      <c r="O12" s="103"/>
      <c r="P12" s="103"/>
      <c r="Q12" s="103"/>
      <c r="R12" s="103"/>
      <c r="S12" s="103"/>
      <c r="T12" s="103"/>
      <c r="U12" s="103"/>
    </row>
    <row r="13" spans="1:21">
      <c r="A13" s="3" t="s">
        <v>24</v>
      </c>
      <c r="B13" s="21">
        <f>SUM(B6:B12)</f>
        <v>2521.625</v>
      </c>
      <c r="C13" s="104"/>
      <c r="D13" s="285"/>
      <c r="E13" s="6"/>
      <c r="L13" s="111"/>
      <c r="M13" s="111"/>
      <c r="N13" s="103"/>
      <c r="O13" s="103"/>
      <c r="P13" s="103"/>
      <c r="Q13" s="103"/>
      <c r="R13" s="103"/>
      <c r="S13" s="103"/>
      <c r="T13" s="103"/>
      <c r="U13" s="103"/>
    </row>
    <row r="14" spans="1:21">
      <c r="B14" s="9"/>
      <c r="C14" s="9"/>
      <c r="D14" s="285"/>
      <c r="L14" s="29"/>
      <c r="M14" s="29"/>
      <c r="N14" s="103"/>
      <c r="O14" s="103"/>
      <c r="P14" s="103"/>
      <c r="Q14" s="103"/>
      <c r="R14" s="103"/>
      <c r="S14" s="103"/>
      <c r="T14" s="103"/>
      <c r="U14" s="103"/>
    </row>
    <row r="15" spans="1:21">
      <c r="A15" s="2" t="s">
        <v>4</v>
      </c>
      <c r="B15" s="8"/>
      <c r="C15" s="9"/>
      <c r="D15" s="285"/>
      <c r="L15" s="29"/>
      <c r="M15" s="29"/>
      <c r="N15" s="103"/>
      <c r="O15" s="103"/>
      <c r="P15" s="103"/>
      <c r="Q15" s="103"/>
      <c r="R15" s="103"/>
      <c r="S15" s="103"/>
      <c r="T15" s="103"/>
      <c r="U15" s="103"/>
    </row>
    <row r="16" spans="1:21">
      <c r="A16" t="s">
        <v>5</v>
      </c>
      <c r="B16" s="9">
        <v>4002</v>
      </c>
      <c r="C16" s="9"/>
      <c r="D16" s="285"/>
      <c r="E16" s="52" t="s">
        <v>747</v>
      </c>
      <c r="F16" s="30"/>
      <c r="G16" s="30"/>
      <c r="H16" s="30"/>
      <c r="I16" s="30"/>
      <c r="J16" s="30"/>
      <c r="K16" s="30"/>
      <c r="L16" s="172"/>
      <c r="M16" s="172"/>
      <c r="N16" s="103" t="s">
        <v>693</v>
      </c>
      <c r="O16" s="103"/>
      <c r="P16" s="103"/>
      <c r="Q16" s="103"/>
      <c r="R16" s="103"/>
      <c r="S16" s="103"/>
      <c r="T16" s="103"/>
      <c r="U16" s="103"/>
    </row>
    <row r="17" spans="1:21" ht="24.75" customHeight="1">
      <c r="A17" t="s">
        <v>69</v>
      </c>
      <c r="B17" s="9">
        <v>764.8</v>
      </c>
      <c r="C17" s="9"/>
      <c r="D17" s="285"/>
      <c r="E17" s="321" t="s">
        <v>748</v>
      </c>
      <c r="F17" s="321"/>
      <c r="G17" s="321"/>
      <c r="H17" s="321"/>
      <c r="I17" s="321"/>
      <c r="J17" s="321"/>
      <c r="K17" s="321"/>
      <c r="L17" s="172"/>
      <c r="M17" s="172"/>
      <c r="N17" s="103" t="s">
        <v>693</v>
      </c>
      <c r="O17" s="103"/>
      <c r="P17" s="103"/>
      <c r="Q17" s="103"/>
      <c r="R17" s="103"/>
      <c r="S17" s="103"/>
      <c r="T17" s="103"/>
      <c r="U17" s="103"/>
    </row>
    <row r="18" spans="1:21">
      <c r="A18" t="s">
        <v>6</v>
      </c>
      <c r="B18" s="9">
        <v>1276.8</v>
      </c>
      <c r="C18" s="9"/>
      <c r="D18" s="285"/>
      <c r="E18" s="120" t="s">
        <v>949</v>
      </c>
      <c r="F18" s="103"/>
      <c r="G18" s="103"/>
      <c r="H18" s="103"/>
      <c r="I18" s="103"/>
      <c r="J18" s="103"/>
      <c r="K18" s="103"/>
      <c r="L18" s="111"/>
      <c r="M18" s="111" t="s">
        <v>518</v>
      </c>
      <c r="N18" s="110" t="s">
        <v>950</v>
      </c>
      <c r="O18" s="103"/>
      <c r="P18" s="103"/>
      <c r="Q18" s="103"/>
      <c r="R18" s="103"/>
      <c r="S18" s="103"/>
      <c r="T18" s="103"/>
      <c r="U18" s="103"/>
    </row>
    <row r="19" spans="1:21">
      <c r="A19" s="3" t="s">
        <v>24</v>
      </c>
      <c r="B19" s="21">
        <f>SUM(B16:B18)</f>
        <v>6043.6</v>
      </c>
      <c r="C19" s="21"/>
      <c r="D19" s="285"/>
      <c r="L19" s="111"/>
      <c r="M19" s="111"/>
      <c r="N19" s="103"/>
      <c r="O19" s="103"/>
      <c r="P19" s="103"/>
      <c r="Q19" s="103"/>
      <c r="R19" s="103"/>
      <c r="S19" s="103"/>
      <c r="T19" s="103"/>
      <c r="U19" s="103"/>
    </row>
    <row r="20" spans="1:21">
      <c r="B20" s="9"/>
      <c r="C20" s="9"/>
      <c r="D20" s="285"/>
      <c r="L20" s="29"/>
      <c r="M20" s="29"/>
      <c r="N20" s="103"/>
      <c r="O20" s="103"/>
      <c r="P20" s="103"/>
      <c r="Q20" s="103"/>
      <c r="R20" s="103"/>
      <c r="S20" s="103"/>
      <c r="T20" s="103"/>
      <c r="U20" s="103"/>
    </row>
    <row r="21" spans="1:21">
      <c r="A21" s="2" t="s">
        <v>99</v>
      </c>
      <c r="B21" s="8"/>
      <c r="C21" s="9"/>
      <c r="D21" s="285"/>
      <c r="L21" s="29"/>
      <c r="M21" s="29"/>
      <c r="N21" s="103"/>
      <c r="O21" s="103"/>
      <c r="P21" s="103"/>
      <c r="Q21" s="103"/>
      <c r="R21" s="103"/>
      <c r="S21" s="103"/>
      <c r="T21" s="103"/>
      <c r="U21" s="103"/>
    </row>
    <row r="22" spans="1:21">
      <c r="A22" t="s">
        <v>100</v>
      </c>
      <c r="B22" s="9">
        <v>1562.9</v>
      </c>
      <c r="C22" s="45"/>
      <c r="D22" s="285"/>
      <c r="E22" s="52" t="s">
        <v>696</v>
      </c>
      <c r="L22" s="29"/>
      <c r="M22" s="29"/>
      <c r="N22" s="110" t="s">
        <v>695</v>
      </c>
      <c r="O22" s="103"/>
      <c r="P22" s="103"/>
      <c r="Q22" s="103"/>
      <c r="R22" s="103"/>
      <c r="S22" s="103"/>
      <c r="T22" s="103"/>
      <c r="U22" s="103"/>
    </row>
    <row r="23" spans="1:21">
      <c r="A23" t="s">
        <v>709</v>
      </c>
      <c r="B23" s="9">
        <v>461.4</v>
      </c>
      <c r="C23" s="45"/>
      <c r="D23" s="285"/>
      <c r="E23" s="52" t="s">
        <v>951</v>
      </c>
      <c r="L23" s="29"/>
      <c r="M23" s="29"/>
      <c r="N23" s="110"/>
      <c r="O23" s="103"/>
      <c r="P23" s="103"/>
      <c r="Q23" s="103"/>
      <c r="R23" s="103"/>
      <c r="S23" s="103"/>
      <c r="T23" s="103"/>
      <c r="U23" s="103"/>
    </row>
    <row r="24" spans="1:21">
      <c r="A24" s="3" t="s">
        <v>24</v>
      </c>
      <c r="B24" s="21">
        <f>SUM(B22:B23)</f>
        <v>2024.3000000000002</v>
      </c>
      <c r="C24" s="21"/>
      <c r="D24" s="285"/>
      <c r="L24" s="111"/>
      <c r="M24" s="111"/>
      <c r="N24" s="103"/>
      <c r="O24" s="103"/>
      <c r="P24" s="103"/>
      <c r="Q24" s="103"/>
      <c r="R24" s="103"/>
      <c r="S24" s="103"/>
      <c r="T24" s="103"/>
      <c r="U24" s="103"/>
    </row>
    <row r="25" spans="1:21">
      <c r="B25" s="9"/>
      <c r="C25" s="9"/>
      <c r="D25" s="285"/>
      <c r="L25" s="29"/>
      <c r="M25" s="29"/>
      <c r="N25" s="103"/>
      <c r="O25" s="103"/>
      <c r="P25" s="103"/>
      <c r="Q25" s="103"/>
      <c r="R25" s="103"/>
      <c r="S25" s="103"/>
      <c r="T25" s="103"/>
      <c r="U25" s="103"/>
    </row>
    <row r="26" spans="1:21">
      <c r="A26" s="2" t="s">
        <v>18</v>
      </c>
      <c r="B26" s="8"/>
      <c r="C26" s="9"/>
      <c r="D26" s="285"/>
      <c r="J26" s="9"/>
      <c r="L26" s="29"/>
      <c r="M26" s="29"/>
      <c r="N26" s="103"/>
      <c r="O26" s="103"/>
      <c r="P26" s="103"/>
      <c r="Q26" s="103"/>
      <c r="R26" s="103"/>
      <c r="S26" s="103"/>
      <c r="T26" s="103"/>
      <c r="U26" s="103"/>
    </row>
    <row r="27" spans="1:21">
      <c r="A27" t="s">
        <v>17</v>
      </c>
      <c r="B27" s="9">
        <f>'SA $ by prov 13-14'!B59</f>
        <v>8504.1418577878103</v>
      </c>
      <c r="C27" s="46"/>
      <c r="D27" s="243"/>
      <c r="E27" s="52" t="s">
        <v>952</v>
      </c>
      <c r="F27" s="30"/>
      <c r="G27" s="30"/>
      <c r="H27" s="30"/>
      <c r="I27" s="30"/>
      <c r="J27" s="30"/>
      <c r="K27" s="30"/>
      <c r="L27" s="172"/>
      <c r="M27" s="172"/>
      <c r="N27" s="120" t="s">
        <v>953</v>
      </c>
      <c r="O27" s="103"/>
      <c r="P27" s="103"/>
      <c r="Q27" s="103"/>
      <c r="R27" s="103"/>
      <c r="S27" s="103"/>
      <c r="T27" s="103"/>
      <c r="U27" s="103"/>
    </row>
    <row r="28" spans="1:21">
      <c r="A28" t="s">
        <v>12</v>
      </c>
      <c r="B28" s="9">
        <f>'SA $ by prov 13-14'!B60</f>
        <v>520.5687999999999</v>
      </c>
      <c r="C28" s="46" t="s">
        <v>437</v>
      </c>
      <c r="D28" s="243"/>
      <c r="E28" s="120" t="s">
        <v>802</v>
      </c>
      <c r="F28" s="30"/>
      <c r="G28" s="30"/>
      <c r="H28" s="30"/>
      <c r="I28" s="30"/>
      <c r="J28" s="30"/>
      <c r="K28" s="30"/>
      <c r="L28" s="172"/>
      <c r="M28" s="172"/>
      <c r="N28" s="120" t="s">
        <v>803</v>
      </c>
      <c r="O28" s="103"/>
      <c r="P28" s="103"/>
      <c r="Q28" s="103"/>
      <c r="R28" s="103"/>
      <c r="S28" s="103"/>
      <c r="T28" s="103"/>
      <c r="U28" s="103"/>
    </row>
    <row r="29" spans="1:21">
      <c r="A29" s="3" t="s">
        <v>24</v>
      </c>
      <c r="B29" s="21">
        <f>SUM(B27:B28)</f>
        <v>9024.7106577878094</v>
      </c>
      <c r="C29" s="46"/>
      <c r="D29" s="243"/>
      <c r="L29" s="111"/>
      <c r="M29" s="111"/>
      <c r="N29" s="103"/>
      <c r="O29" s="103"/>
      <c r="P29" s="103"/>
      <c r="Q29" s="103"/>
      <c r="R29" s="103"/>
      <c r="S29" s="103"/>
      <c r="T29" s="103"/>
      <c r="U29" s="103"/>
    </row>
    <row r="30" spans="1:21">
      <c r="B30" s="9"/>
      <c r="C30" s="9"/>
      <c r="D30" s="285"/>
      <c r="L30" s="29"/>
      <c r="M30" s="29"/>
      <c r="N30" s="103"/>
      <c r="O30" s="103"/>
      <c r="P30" s="103"/>
      <c r="Q30" s="103"/>
      <c r="R30" s="103"/>
      <c r="S30" s="103"/>
      <c r="T30" s="103"/>
      <c r="U30" s="103"/>
    </row>
    <row r="31" spans="1:21">
      <c r="A31" s="2" t="s">
        <v>13</v>
      </c>
      <c r="B31" s="8"/>
      <c r="C31" s="9"/>
      <c r="D31" s="285"/>
      <c r="L31" s="29"/>
      <c r="M31" s="29"/>
      <c r="N31" s="103"/>
      <c r="O31" s="103"/>
      <c r="P31" s="103"/>
      <c r="Q31" s="103"/>
      <c r="R31" s="103"/>
      <c r="S31" s="103"/>
      <c r="T31" s="103"/>
      <c r="U31" s="103"/>
    </row>
    <row r="32" spans="1:21">
      <c r="A32" t="s">
        <v>7</v>
      </c>
      <c r="B32" s="9">
        <f>7236.3*0.72</f>
        <v>5210.1359999999995</v>
      </c>
      <c r="C32" s="9"/>
      <c r="D32" s="285">
        <v>2013</v>
      </c>
      <c r="E32" t="s">
        <v>521</v>
      </c>
      <c r="L32" s="29"/>
      <c r="M32" s="29"/>
      <c r="N32" s="110" t="s">
        <v>205</v>
      </c>
      <c r="O32" s="103"/>
      <c r="P32" s="103"/>
      <c r="Q32" s="103"/>
      <c r="R32" s="103"/>
      <c r="S32" s="103"/>
      <c r="T32" s="103"/>
      <c r="U32" s="103"/>
    </row>
    <row r="33" spans="1:21">
      <c r="B33" s="9"/>
      <c r="C33" s="9"/>
      <c r="D33" s="285"/>
      <c r="E33" s="52" t="s">
        <v>916</v>
      </c>
      <c r="L33" s="29"/>
      <c r="M33" s="29"/>
      <c r="N33" s="103" t="s">
        <v>206</v>
      </c>
      <c r="O33" s="103"/>
      <c r="P33" s="103"/>
      <c r="Q33" s="103"/>
      <c r="R33" s="103"/>
      <c r="S33" s="103"/>
      <c r="T33" s="103"/>
      <c r="U33" s="103"/>
    </row>
    <row r="34" spans="1:21">
      <c r="A34" t="s">
        <v>8</v>
      </c>
      <c r="B34" s="9">
        <v>190</v>
      </c>
      <c r="C34" s="9" t="s">
        <v>437</v>
      </c>
      <c r="D34" s="285"/>
      <c r="E34" t="s">
        <v>608</v>
      </c>
      <c r="L34" s="29"/>
      <c r="M34" s="29"/>
      <c r="N34" s="110"/>
      <c r="O34" s="103"/>
      <c r="P34" s="103"/>
      <c r="Q34" s="103"/>
      <c r="R34" s="103"/>
      <c r="S34" s="103"/>
      <c r="T34" s="103"/>
      <c r="U34" s="103"/>
    </row>
    <row r="35" spans="1:21">
      <c r="A35" s="3" t="s">
        <v>57</v>
      </c>
      <c r="B35" s="21">
        <f>SUM(B32:B34)</f>
        <v>5400.1359999999995</v>
      </c>
      <c r="C35" s="21"/>
      <c r="D35" s="285"/>
      <c r="L35" s="111"/>
      <c r="M35" s="111"/>
      <c r="N35" s="103"/>
      <c r="O35" s="103"/>
      <c r="P35" s="103"/>
      <c r="Q35" s="103"/>
      <c r="R35" s="103"/>
      <c r="S35" s="103"/>
      <c r="T35" s="103"/>
      <c r="U35" s="103"/>
    </row>
    <row r="36" spans="1:21">
      <c r="A36" s="3"/>
      <c r="B36" s="21"/>
      <c r="C36" s="21"/>
      <c r="D36" s="285"/>
      <c r="L36" s="29"/>
      <c r="M36" s="29"/>
      <c r="N36" s="103"/>
      <c r="O36" s="103"/>
      <c r="P36" s="103"/>
      <c r="Q36" s="103"/>
      <c r="R36" s="103"/>
      <c r="S36" s="103"/>
      <c r="T36" s="103"/>
      <c r="U36" s="103"/>
    </row>
    <row r="37" spans="1:21">
      <c r="A37" t="s">
        <v>64</v>
      </c>
      <c r="B37" s="9"/>
      <c r="C37" s="9"/>
      <c r="D37" s="285"/>
      <c r="L37" s="29"/>
      <c r="M37" s="29"/>
      <c r="N37" s="103"/>
      <c r="O37" s="103"/>
      <c r="P37" s="103"/>
      <c r="Q37" s="103"/>
      <c r="R37" s="103"/>
      <c r="S37" s="103"/>
      <c r="T37" s="103"/>
      <c r="U37" s="103"/>
    </row>
    <row r="38" spans="1:21">
      <c r="A38" t="s">
        <v>9</v>
      </c>
      <c r="B38" s="9">
        <v>1216</v>
      </c>
      <c r="C38" s="9"/>
      <c r="D38" s="285">
        <v>2013</v>
      </c>
      <c r="E38" t="s">
        <v>524</v>
      </c>
      <c r="L38" s="29"/>
      <c r="M38" s="29"/>
      <c r="N38" s="103" t="s">
        <v>868</v>
      </c>
      <c r="O38" s="103"/>
      <c r="P38" s="103"/>
      <c r="Q38" s="103"/>
      <c r="R38" s="103"/>
      <c r="S38" s="103"/>
      <c r="T38" s="103"/>
      <c r="U38" s="103"/>
    </row>
    <row r="39" spans="1:21">
      <c r="A39" t="s">
        <v>10</v>
      </c>
      <c r="B39" s="9">
        <v>5493</v>
      </c>
      <c r="C39" s="9"/>
      <c r="D39" s="285"/>
      <c r="E39" t="s">
        <v>524</v>
      </c>
      <c r="L39" s="29"/>
      <c r="M39" s="29"/>
      <c r="N39" s="103" t="s">
        <v>692</v>
      </c>
      <c r="O39" s="103"/>
      <c r="P39" s="103"/>
      <c r="Q39" s="103"/>
      <c r="R39" s="103"/>
      <c r="S39" s="103"/>
      <c r="T39" s="103"/>
      <c r="U39" s="103"/>
    </row>
    <row r="40" spans="1:21">
      <c r="A40" s="3" t="s">
        <v>24</v>
      </c>
      <c r="B40" s="21">
        <f>SUM(B38:B39)</f>
        <v>6709</v>
      </c>
      <c r="C40" s="21"/>
      <c r="D40" s="285"/>
      <c r="L40" s="111"/>
      <c r="M40" s="111"/>
      <c r="N40" s="103"/>
      <c r="O40" s="103"/>
      <c r="P40" s="103"/>
      <c r="Q40" s="103"/>
      <c r="R40" s="103"/>
      <c r="S40" s="103"/>
      <c r="T40" s="103"/>
      <c r="U40" s="103"/>
    </row>
    <row r="41" spans="1:21">
      <c r="B41" s="9"/>
      <c r="C41" s="9"/>
      <c r="D41" s="285"/>
      <c r="N41" s="103"/>
      <c r="O41" s="103"/>
      <c r="P41" s="103"/>
      <c r="Q41" s="103"/>
      <c r="R41" s="103"/>
      <c r="S41" s="103"/>
      <c r="T41" s="103"/>
      <c r="U41" s="103"/>
    </row>
    <row r="42" spans="1:21" ht="15.75">
      <c r="A42" s="4" t="s">
        <v>23</v>
      </c>
      <c r="B42" s="28">
        <f>SUM(B13+B19+B24+B29+B35+B40)</f>
        <v>31723.371657787808</v>
      </c>
      <c r="C42" s="46"/>
      <c r="D42" s="243"/>
    </row>
    <row r="43" spans="1:21" ht="15.75">
      <c r="A43" s="4"/>
      <c r="B43" s="4"/>
      <c r="C43" s="4"/>
    </row>
    <row r="44" spans="1:21" ht="15.75">
      <c r="A44" s="204" t="s">
        <v>954</v>
      </c>
      <c r="B44" s="204"/>
      <c r="C44" s="4"/>
    </row>
    <row r="45" spans="1:21">
      <c r="A45" s="106"/>
      <c r="B45" s="106"/>
      <c r="C45" s="39"/>
    </row>
    <row r="46" spans="1:21">
      <c r="A46" s="52"/>
      <c r="B46" s="52"/>
      <c r="C46" s="284"/>
    </row>
    <row r="47" spans="1:21">
      <c r="C47" s="9"/>
      <c r="D47" s="285"/>
    </row>
    <row r="48" spans="1:21">
      <c r="A48" s="39"/>
      <c r="B48" s="39"/>
      <c r="C48" s="45"/>
      <c r="D48" s="247"/>
    </row>
    <row r="49" spans="1:13">
      <c r="C49" s="9"/>
      <c r="D49" s="285"/>
    </row>
    <row r="50" spans="1:13">
      <c r="C50" s="9"/>
      <c r="D50" s="285"/>
    </row>
    <row r="51" spans="1:13">
      <c r="C51" s="9"/>
      <c r="D51" s="285"/>
    </row>
    <row r="52" spans="1:13">
      <c r="C52" s="9"/>
      <c r="D52" s="285"/>
    </row>
    <row r="53" spans="1:13">
      <c r="C53" s="9"/>
      <c r="D53" s="285"/>
      <c r="L53" s="7"/>
      <c r="M53" s="7"/>
    </row>
    <row r="54" spans="1:13">
      <c r="A54" s="3"/>
      <c r="B54" s="3"/>
      <c r="C54" s="21"/>
      <c r="D54" s="285"/>
      <c r="L54" s="7"/>
      <c r="M54" s="7"/>
    </row>
    <row r="55" spans="1:13">
      <c r="C55" s="9"/>
      <c r="D55" s="285"/>
      <c r="L55" s="7"/>
      <c r="M55" s="7"/>
    </row>
    <row r="56" spans="1:13">
      <c r="A56" s="2"/>
      <c r="B56" s="2"/>
      <c r="C56" s="9"/>
      <c r="D56" s="285"/>
      <c r="L56" s="7"/>
      <c r="M56" s="7"/>
    </row>
    <row r="57" spans="1:13">
      <c r="C57" s="9"/>
      <c r="D57" s="285"/>
      <c r="L57" s="7"/>
      <c r="M57" s="7"/>
    </row>
    <row r="58" spans="1:13">
      <c r="C58" s="9"/>
      <c r="D58" s="285"/>
      <c r="L58" s="7"/>
      <c r="M58" s="7"/>
    </row>
    <row r="59" spans="1:13">
      <c r="C59" s="9"/>
      <c r="D59" s="285"/>
      <c r="L59" s="7"/>
      <c r="M59" s="7"/>
    </row>
    <row r="60" spans="1:13">
      <c r="A60" s="3"/>
      <c r="B60" s="3"/>
      <c r="C60" s="21"/>
      <c r="D60" s="285"/>
      <c r="L60" s="7"/>
      <c r="M60" s="7"/>
    </row>
    <row r="61" spans="1:13">
      <c r="C61" s="9"/>
      <c r="D61" s="285"/>
      <c r="L61" s="7"/>
      <c r="M61" s="7"/>
    </row>
    <row r="62" spans="1:13">
      <c r="A62" s="2"/>
      <c r="B62" s="2"/>
      <c r="C62" s="9"/>
      <c r="D62" s="285"/>
      <c r="L62" s="7"/>
      <c r="M62" s="7"/>
    </row>
    <row r="63" spans="1:13">
      <c r="C63" s="9"/>
      <c r="D63" s="285"/>
      <c r="L63" s="7"/>
      <c r="M63" s="7"/>
    </row>
    <row r="64" spans="1:13">
      <c r="A64" s="3"/>
      <c r="B64" s="3"/>
      <c r="C64" s="21"/>
      <c r="D64" s="285"/>
      <c r="L64" s="7"/>
      <c r="M64" s="7"/>
    </row>
    <row r="65" spans="1:13">
      <c r="C65" s="9"/>
      <c r="D65" s="285"/>
      <c r="L65" s="7"/>
      <c r="M65" s="7"/>
    </row>
    <row r="66" spans="1:13">
      <c r="A66" s="2"/>
      <c r="B66" s="2"/>
      <c r="C66" s="9"/>
      <c r="D66" s="285"/>
      <c r="J66" s="9"/>
      <c r="L66" s="7"/>
      <c r="M66" s="7"/>
    </row>
    <row r="67" spans="1:13">
      <c r="C67" s="9"/>
      <c r="D67" s="285"/>
      <c r="L67" s="7"/>
      <c r="M67" s="7"/>
    </row>
    <row r="68" spans="1:13">
      <c r="C68" s="9"/>
      <c r="D68" s="285"/>
      <c r="L68" s="7"/>
      <c r="M68" s="7"/>
    </row>
    <row r="69" spans="1:13">
      <c r="A69" s="3"/>
      <c r="B69" s="3"/>
      <c r="C69" s="21"/>
      <c r="D69" s="285"/>
      <c r="L69" s="7"/>
      <c r="M69" s="7"/>
    </row>
    <row r="70" spans="1:13">
      <c r="C70" s="9"/>
      <c r="D70" s="285"/>
      <c r="L70" s="7"/>
      <c r="M70" s="7"/>
    </row>
    <row r="71" spans="1:13">
      <c r="A71" s="2"/>
      <c r="B71" s="2"/>
      <c r="C71" s="9"/>
      <c r="D71" s="285"/>
      <c r="L71" s="7"/>
      <c r="M71" s="7"/>
    </row>
    <row r="72" spans="1:13">
      <c r="C72" s="9"/>
      <c r="D72" s="285"/>
      <c r="L72" s="7"/>
      <c r="M72" s="7"/>
    </row>
    <row r="73" spans="1:13">
      <c r="C73" s="9"/>
      <c r="D73" s="285"/>
      <c r="L73" s="7"/>
      <c r="M73" s="7"/>
    </row>
    <row r="74" spans="1:13">
      <c r="A74" s="3"/>
      <c r="B74" s="3"/>
      <c r="C74" s="21"/>
      <c r="D74" s="285"/>
      <c r="L74" s="7"/>
      <c r="M74" s="7"/>
    </row>
    <row r="75" spans="1:13">
      <c r="C75" s="9"/>
      <c r="D75" s="285"/>
      <c r="L75" s="7"/>
      <c r="M75" s="7"/>
    </row>
    <row r="76" spans="1:13">
      <c r="C76" s="9"/>
      <c r="D76" s="285"/>
      <c r="L76" s="7"/>
      <c r="M76" s="7"/>
    </row>
    <row r="77" spans="1:13">
      <c r="C77" s="9"/>
      <c r="D77" s="285"/>
      <c r="L77" s="7"/>
      <c r="M77" s="7"/>
    </row>
    <row r="78" spans="1:13">
      <c r="A78" s="3"/>
      <c r="B78" s="3"/>
      <c r="C78" s="21"/>
      <c r="D78" s="285"/>
      <c r="L78" s="7"/>
      <c r="M78" s="7"/>
    </row>
    <row r="79" spans="1:13">
      <c r="C79" s="9"/>
      <c r="D79" s="285"/>
    </row>
    <row r="80" spans="1:13" ht="15.75">
      <c r="A80" s="4"/>
      <c r="B80" s="4"/>
      <c r="C80" s="17"/>
    </row>
    <row r="81" spans="1:5" ht="15.75">
      <c r="A81" s="4"/>
      <c r="B81" s="4"/>
      <c r="C81" s="4"/>
    </row>
    <row r="82" spans="1:5" ht="15.75">
      <c r="A82" s="4"/>
      <c r="B82" s="4"/>
      <c r="C82" s="4"/>
    </row>
    <row r="93" spans="1:5">
      <c r="C93" s="6"/>
      <c r="E93" s="7"/>
    </row>
    <row r="94" spans="1:5">
      <c r="C94" s="6"/>
      <c r="E94" s="7"/>
    </row>
    <row r="95" spans="1:5">
      <c r="C95" s="6"/>
      <c r="E95" s="7"/>
    </row>
    <row r="96" spans="1:5">
      <c r="C96" s="5"/>
      <c r="E96" s="7"/>
    </row>
    <row r="99" spans="3:3">
      <c r="C99" s="8"/>
    </row>
  </sheetData>
  <mergeCells count="1">
    <mergeCell ref="E17:K17"/>
  </mergeCells>
  <hyperlinks>
    <hyperlink ref="N32" r:id="rId1"/>
    <hyperlink ref="N22" r:id="rId2"/>
    <hyperlink ref="N6" r:id="rId3"/>
  </hyperlinks>
  <pageMargins left="0.70866141732283472" right="0.70866141732283472" top="0.74803149606299213" bottom="0.74803149606299213" header="0.31496062992125984" footer="0.31496062992125984"/>
  <pageSetup scale="85" orientation="landscape" verticalDpi="0" r:id="rId4"/>
</worksheet>
</file>

<file path=xl/worksheets/sheet30.xml><?xml version="1.0" encoding="utf-8"?>
<worksheet xmlns="http://schemas.openxmlformats.org/spreadsheetml/2006/main" xmlns:r="http://schemas.openxmlformats.org/officeDocument/2006/relationships">
  <sheetPr>
    <tabColor rgb="FFFF0000"/>
  </sheetPr>
  <dimension ref="A1:AE282"/>
  <sheetViews>
    <sheetView topLeftCell="A242" workbookViewId="0">
      <selection activeCell="A254" sqref="A254:L263"/>
    </sheetView>
  </sheetViews>
  <sheetFormatPr defaultRowHeight="12.75"/>
  <cols>
    <col min="1" max="1" width="35.42578125" customWidth="1"/>
    <col min="2" max="2" width="10.140625" customWidth="1"/>
    <col min="3" max="3" width="2.7109375" customWidth="1"/>
    <col min="4" max="4" width="14" customWidth="1"/>
    <col min="8" max="8" width="10.28515625" bestFit="1" customWidth="1"/>
    <col min="10" max="10" width="13.140625" bestFit="1" customWidth="1"/>
    <col min="12" max="12" width="9.28515625" bestFit="1" customWidth="1"/>
    <col min="267" max="267" width="35.42578125" customWidth="1"/>
    <col min="268" max="268" width="10.140625" customWidth="1"/>
    <col min="269" max="269" width="14" customWidth="1"/>
    <col min="270" max="270" width="10.140625" customWidth="1"/>
    <col min="271" max="271" width="14" customWidth="1"/>
    <col min="279" max="279" width="10" customWidth="1"/>
    <col min="523" max="523" width="35.42578125" customWidth="1"/>
    <col min="524" max="524" width="10.140625" customWidth="1"/>
    <col min="525" max="525" width="14" customWidth="1"/>
    <col min="526" max="526" width="10.140625" customWidth="1"/>
    <col min="527" max="527" width="14" customWidth="1"/>
    <col min="535" max="535" width="10" customWidth="1"/>
    <col min="779" max="779" width="35.42578125" customWidth="1"/>
    <col min="780" max="780" width="10.140625" customWidth="1"/>
    <col min="781" max="781" width="14" customWidth="1"/>
    <col min="782" max="782" width="10.140625" customWidth="1"/>
    <col min="783" max="783" width="14" customWidth="1"/>
    <col min="791" max="791" width="10" customWidth="1"/>
    <col min="1035" max="1035" width="35.42578125" customWidth="1"/>
    <col min="1036" max="1036" width="10.140625" customWidth="1"/>
    <col min="1037" max="1037" width="14" customWidth="1"/>
    <col min="1038" max="1038" width="10.140625" customWidth="1"/>
    <col min="1039" max="1039" width="14" customWidth="1"/>
    <col min="1047" max="1047" width="10" customWidth="1"/>
    <col min="1291" max="1291" width="35.42578125" customWidth="1"/>
    <col min="1292" max="1292" width="10.140625" customWidth="1"/>
    <col min="1293" max="1293" width="14" customWidth="1"/>
    <col min="1294" max="1294" width="10.140625" customWidth="1"/>
    <col min="1295" max="1295" width="14" customWidth="1"/>
    <col min="1303" max="1303" width="10" customWidth="1"/>
    <col min="1547" max="1547" width="35.42578125" customWidth="1"/>
    <col min="1548" max="1548" width="10.140625" customWidth="1"/>
    <col min="1549" max="1549" width="14" customWidth="1"/>
    <col min="1550" max="1550" width="10.140625" customWidth="1"/>
    <col min="1551" max="1551" width="14" customWidth="1"/>
    <col min="1559" max="1559" width="10" customWidth="1"/>
    <col min="1803" max="1803" width="35.42578125" customWidth="1"/>
    <col min="1804" max="1804" width="10.140625" customWidth="1"/>
    <col min="1805" max="1805" width="14" customWidth="1"/>
    <col min="1806" max="1806" width="10.140625" customWidth="1"/>
    <col min="1807" max="1807" width="14" customWidth="1"/>
    <col min="1815" max="1815" width="10" customWidth="1"/>
    <col min="2059" max="2059" width="35.42578125" customWidth="1"/>
    <col min="2060" max="2060" width="10.140625" customWidth="1"/>
    <col min="2061" max="2061" width="14" customWidth="1"/>
    <col min="2062" max="2062" width="10.140625" customWidth="1"/>
    <col min="2063" max="2063" width="14" customWidth="1"/>
    <col min="2071" max="2071" width="10" customWidth="1"/>
    <col min="2315" max="2315" width="35.42578125" customWidth="1"/>
    <col min="2316" max="2316" width="10.140625" customWidth="1"/>
    <col min="2317" max="2317" width="14" customWidth="1"/>
    <col min="2318" max="2318" width="10.140625" customWidth="1"/>
    <col min="2319" max="2319" width="14" customWidth="1"/>
    <col min="2327" max="2327" width="10" customWidth="1"/>
    <col min="2571" max="2571" width="35.42578125" customWidth="1"/>
    <col min="2572" max="2572" width="10.140625" customWidth="1"/>
    <col min="2573" max="2573" width="14" customWidth="1"/>
    <col min="2574" max="2574" width="10.140625" customWidth="1"/>
    <col min="2575" max="2575" width="14" customWidth="1"/>
    <col min="2583" max="2583" width="10" customWidth="1"/>
    <col min="2827" max="2827" width="35.42578125" customWidth="1"/>
    <col min="2828" max="2828" width="10.140625" customWidth="1"/>
    <col min="2829" max="2829" width="14" customWidth="1"/>
    <col min="2830" max="2830" width="10.140625" customWidth="1"/>
    <col min="2831" max="2831" width="14" customWidth="1"/>
    <col min="2839" max="2839" width="10" customWidth="1"/>
    <col min="3083" max="3083" width="35.42578125" customWidth="1"/>
    <col min="3084" max="3084" width="10.140625" customWidth="1"/>
    <col min="3085" max="3085" width="14" customWidth="1"/>
    <col min="3086" max="3086" width="10.140625" customWidth="1"/>
    <col min="3087" max="3087" width="14" customWidth="1"/>
    <col min="3095" max="3095" width="10" customWidth="1"/>
    <col min="3339" max="3339" width="35.42578125" customWidth="1"/>
    <col min="3340" max="3340" width="10.140625" customWidth="1"/>
    <col min="3341" max="3341" width="14" customWidth="1"/>
    <col min="3342" max="3342" width="10.140625" customWidth="1"/>
    <col min="3343" max="3343" width="14" customWidth="1"/>
    <col min="3351" max="3351" width="10" customWidth="1"/>
    <col min="3595" max="3595" width="35.42578125" customWidth="1"/>
    <col min="3596" max="3596" width="10.140625" customWidth="1"/>
    <col min="3597" max="3597" width="14" customWidth="1"/>
    <col min="3598" max="3598" width="10.140625" customWidth="1"/>
    <col min="3599" max="3599" width="14" customWidth="1"/>
    <col min="3607" max="3607" width="10" customWidth="1"/>
    <col min="3851" max="3851" width="35.42578125" customWidth="1"/>
    <col min="3852" max="3852" width="10.140625" customWidth="1"/>
    <col min="3853" max="3853" width="14" customWidth="1"/>
    <col min="3854" max="3854" width="10.140625" customWidth="1"/>
    <col min="3855" max="3855" width="14" customWidth="1"/>
    <col min="3863" max="3863" width="10" customWidth="1"/>
    <col min="4107" max="4107" width="35.42578125" customWidth="1"/>
    <col min="4108" max="4108" width="10.140625" customWidth="1"/>
    <col min="4109" max="4109" width="14" customWidth="1"/>
    <col min="4110" max="4110" width="10.140625" customWidth="1"/>
    <col min="4111" max="4111" width="14" customWidth="1"/>
    <col min="4119" max="4119" width="10" customWidth="1"/>
    <col min="4363" max="4363" width="35.42578125" customWidth="1"/>
    <col min="4364" max="4364" width="10.140625" customWidth="1"/>
    <col min="4365" max="4365" width="14" customWidth="1"/>
    <col min="4366" max="4366" width="10.140625" customWidth="1"/>
    <col min="4367" max="4367" width="14" customWidth="1"/>
    <col min="4375" max="4375" width="10" customWidth="1"/>
    <col min="4619" max="4619" width="35.42578125" customWidth="1"/>
    <col min="4620" max="4620" width="10.140625" customWidth="1"/>
    <col min="4621" max="4621" width="14" customWidth="1"/>
    <col min="4622" max="4622" width="10.140625" customWidth="1"/>
    <col min="4623" max="4623" width="14" customWidth="1"/>
    <col min="4631" max="4631" width="10" customWidth="1"/>
    <col min="4875" max="4875" width="35.42578125" customWidth="1"/>
    <col min="4876" max="4876" width="10.140625" customWidth="1"/>
    <col min="4877" max="4877" width="14" customWidth="1"/>
    <col min="4878" max="4878" width="10.140625" customWidth="1"/>
    <col min="4879" max="4879" width="14" customWidth="1"/>
    <col min="4887" max="4887" width="10" customWidth="1"/>
    <col min="5131" max="5131" width="35.42578125" customWidth="1"/>
    <col min="5132" max="5132" width="10.140625" customWidth="1"/>
    <col min="5133" max="5133" width="14" customWidth="1"/>
    <col min="5134" max="5134" width="10.140625" customWidth="1"/>
    <col min="5135" max="5135" width="14" customWidth="1"/>
    <col min="5143" max="5143" width="10" customWidth="1"/>
    <col min="5387" max="5387" width="35.42578125" customWidth="1"/>
    <col min="5388" max="5388" width="10.140625" customWidth="1"/>
    <col min="5389" max="5389" width="14" customWidth="1"/>
    <col min="5390" max="5390" width="10.140625" customWidth="1"/>
    <col min="5391" max="5391" width="14" customWidth="1"/>
    <col min="5399" max="5399" width="10" customWidth="1"/>
    <col min="5643" max="5643" width="35.42578125" customWidth="1"/>
    <col min="5644" max="5644" width="10.140625" customWidth="1"/>
    <col min="5645" max="5645" width="14" customWidth="1"/>
    <col min="5646" max="5646" width="10.140625" customWidth="1"/>
    <col min="5647" max="5647" width="14" customWidth="1"/>
    <col min="5655" max="5655" width="10" customWidth="1"/>
    <col min="5899" max="5899" width="35.42578125" customWidth="1"/>
    <col min="5900" max="5900" width="10.140625" customWidth="1"/>
    <col min="5901" max="5901" width="14" customWidth="1"/>
    <col min="5902" max="5902" width="10.140625" customWidth="1"/>
    <col min="5903" max="5903" width="14" customWidth="1"/>
    <col min="5911" max="5911" width="10" customWidth="1"/>
    <col min="6155" max="6155" width="35.42578125" customWidth="1"/>
    <col min="6156" max="6156" width="10.140625" customWidth="1"/>
    <col min="6157" max="6157" width="14" customWidth="1"/>
    <col min="6158" max="6158" width="10.140625" customWidth="1"/>
    <col min="6159" max="6159" width="14" customWidth="1"/>
    <col min="6167" max="6167" width="10" customWidth="1"/>
    <col min="6411" max="6411" width="35.42578125" customWidth="1"/>
    <col min="6412" max="6412" width="10.140625" customWidth="1"/>
    <col min="6413" max="6413" width="14" customWidth="1"/>
    <col min="6414" max="6414" width="10.140625" customWidth="1"/>
    <col min="6415" max="6415" width="14" customWidth="1"/>
    <col min="6423" max="6423" width="10" customWidth="1"/>
    <col min="6667" max="6667" width="35.42578125" customWidth="1"/>
    <col min="6668" max="6668" width="10.140625" customWidth="1"/>
    <col min="6669" max="6669" width="14" customWidth="1"/>
    <col min="6670" max="6670" width="10.140625" customWidth="1"/>
    <col min="6671" max="6671" width="14" customWidth="1"/>
    <col min="6679" max="6679" width="10" customWidth="1"/>
    <col min="6923" max="6923" width="35.42578125" customWidth="1"/>
    <col min="6924" max="6924" width="10.140625" customWidth="1"/>
    <col min="6925" max="6925" width="14" customWidth="1"/>
    <col min="6926" max="6926" width="10.140625" customWidth="1"/>
    <col min="6927" max="6927" width="14" customWidth="1"/>
    <col min="6935" max="6935" width="10" customWidth="1"/>
    <col min="7179" max="7179" width="35.42578125" customWidth="1"/>
    <col min="7180" max="7180" width="10.140625" customWidth="1"/>
    <col min="7181" max="7181" width="14" customWidth="1"/>
    <col min="7182" max="7182" width="10.140625" customWidth="1"/>
    <col min="7183" max="7183" width="14" customWidth="1"/>
    <col min="7191" max="7191" width="10" customWidth="1"/>
    <col min="7435" max="7435" width="35.42578125" customWidth="1"/>
    <col min="7436" max="7436" width="10.140625" customWidth="1"/>
    <col min="7437" max="7437" width="14" customWidth="1"/>
    <col min="7438" max="7438" width="10.140625" customWidth="1"/>
    <col min="7439" max="7439" width="14" customWidth="1"/>
    <col min="7447" max="7447" width="10" customWidth="1"/>
    <col min="7691" max="7691" width="35.42578125" customWidth="1"/>
    <col min="7692" max="7692" width="10.140625" customWidth="1"/>
    <col min="7693" max="7693" width="14" customWidth="1"/>
    <col min="7694" max="7694" width="10.140625" customWidth="1"/>
    <col min="7695" max="7695" width="14" customWidth="1"/>
    <col min="7703" max="7703" width="10" customWidth="1"/>
    <col min="7947" max="7947" width="35.42578125" customWidth="1"/>
    <col min="7948" max="7948" width="10.140625" customWidth="1"/>
    <col min="7949" max="7949" width="14" customWidth="1"/>
    <col min="7950" max="7950" width="10.140625" customWidth="1"/>
    <col min="7951" max="7951" width="14" customWidth="1"/>
    <col min="7959" max="7959" width="10" customWidth="1"/>
    <col min="8203" max="8203" width="35.42578125" customWidth="1"/>
    <col min="8204" max="8204" width="10.140625" customWidth="1"/>
    <col min="8205" max="8205" width="14" customWidth="1"/>
    <col min="8206" max="8206" width="10.140625" customWidth="1"/>
    <col min="8207" max="8207" width="14" customWidth="1"/>
    <col min="8215" max="8215" width="10" customWidth="1"/>
    <col min="8459" max="8459" width="35.42578125" customWidth="1"/>
    <col min="8460" max="8460" width="10.140625" customWidth="1"/>
    <col min="8461" max="8461" width="14" customWidth="1"/>
    <col min="8462" max="8462" width="10.140625" customWidth="1"/>
    <col min="8463" max="8463" width="14" customWidth="1"/>
    <col min="8471" max="8471" width="10" customWidth="1"/>
    <col min="8715" max="8715" width="35.42578125" customWidth="1"/>
    <col min="8716" max="8716" width="10.140625" customWidth="1"/>
    <col min="8717" max="8717" width="14" customWidth="1"/>
    <col min="8718" max="8718" width="10.140625" customWidth="1"/>
    <col min="8719" max="8719" width="14" customWidth="1"/>
    <col min="8727" max="8727" width="10" customWidth="1"/>
    <col min="8971" max="8971" width="35.42578125" customWidth="1"/>
    <col min="8972" max="8972" width="10.140625" customWidth="1"/>
    <col min="8973" max="8973" width="14" customWidth="1"/>
    <col min="8974" max="8974" width="10.140625" customWidth="1"/>
    <col min="8975" max="8975" width="14" customWidth="1"/>
    <col min="8983" max="8983" width="10" customWidth="1"/>
    <col min="9227" max="9227" width="35.42578125" customWidth="1"/>
    <col min="9228" max="9228" width="10.140625" customWidth="1"/>
    <col min="9229" max="9229" width="14" customWidth="1"/>
    <col min="9230" max="9230" width="10.140625" customWidth="1"/>
    <col min="9231" max="9231" width="14" customWidth="1"/>
    <col min="9239" max="9239" width="10" customWidth="1"/>
    <col min="9483" max="9483" width="35.42578125" customWidth="1"/>
    <col min="9484" max="9484" width="10.140625" customWidth="1"/>
    <col min="9485" max="9485" width="14" customWidth="1"/>
    <col min="9486" max="9486" width="10.140625" customWidth="1"/>
    <col min="9487" max="9487" width="14" customWidth="1"/>
    <col min="9495" max="9495" width="10" customWidth="1"/>
    <col min="9739" max="9739" width="35.42578125" customWidth="1"/>
    <col min="9740" max="9740" width="10.140625" customWidth="1"/>
    <col min="9741" max="9741" width="14" customWidth="1"/>
    <col min="9742" max="9742" width="10.140625" customWidth="1"/>
    <col min="9743" max="9743" width="14" customWidth="1"/>
    <col min="9751" max="9751" width="10" customWidth="1"/>
    <col min="9995" max="9995" width="35.42578125" customWidth="1"/>
    <col min="9996" max="9996" width="10.140625" customWidth="1"/>
    <col min="9997" max="9997" width="14" customWidth="1"/>
    <col min="9998" max="9998" width="10.140625" customWidth="1"/>
    <col min="9999" max="9999" width="14" customWidth="1"/>
    <col min="10007" max="10007" width="10" customWidth="1"/>
    <col min="10251" max="10251" width="35.42578125" customWidth="1"/>
    <col min="10252" max="10252" width="10.140625" customWidth="1"/>
    <col min="10253" max="10253" width="14" customWidth="1"/>
    <col min="10254" max="10254" width="10.140625" customWidth="1"/>
    <col min="10255" max="10255" width="14" customWidth="1"/>
    <col min="10263" max="10263" width="10" customWidth="1"/>
    <col min="10507" max="10507" width="35.42578125" customWidth="1"/>
    <col min="10508" max="10508" width="10.140625" customWidth="1"/>
    <col min="10509" max="10509" width="14" customWidth="1"/>
    <col min="10510" max="10510" width="10.140625" customWidth="1"/>
    <col min="10511" max="10511" width="14" customWidth="1"/>
    <col min="10519" max="10519" width="10" customWidth="1"/>
    <col min="10763" max="10763" width="35.42578125" customWidth="1"/>
    <col min="10764" max="10764" width="10.140625" customWidth="1"/>
    <col min="10765" max="10765" width="14" customWidth="1"/>
    <col min="10766" max="10766" width="10.140625" customWidth="1"/>
    <col min="10767" max="10767" width="14" customWidth="1"/>
    <col min="10775" max="10775" width="10" customWidth="1"/>
    <col min="11019" max="11019" width="35.42578125" customWidth="1"/>
    <col min="11020" max="11020" width="10.140625" customWidth="1"/>
    <col min="11021" max="11021" width="14" customWidth="1"/>
    <col min="11022" max="11022" width="10.140625" customWidth="1"/>
    <col min="11023" max="11023" width="14" customWidth="1"/>
    <col min="11031" max="11031" width="10" customWidth="1"/>
    <col min="11275" max="11275" width="35.42578125" customWidth="1"/>
    <col min="11276" max="11276" width="10.140625" customWidth="1"/>
    <col min="11277" max="11277" width="14" customWidth="1"/>
    <col min="11278" max="11278" width="10.140625" customWidth="1"/>
    <col min="11279" max="11279" width="14" customWidth="1"/>
    <col min="11287" max="11287" width="10" customWidth="1"/>
    <col min="11531" max="11531" width="35.42578125" customWidth="1"/>
    <col min="11532" max="11532" width="10.140625" customWidth="1"/>
    <col min="11533" max="11533" width="14" customWidth="1"/>
    <col min="11534" max="11534" width="10.140625" customWidth="1"/>
    <col min="11535" max="11535" width="14" customWidth="1"/>
    <col min="11543" max="11543" width="10" customWidth="1"/>
    <col min="11787" max="11787" width="35.42578125" customWidth="1"/>
    <col min="11788" max="11788" width="10.140625" customWidth="1"/>
    <col min="11789" max="11789" width="14" customWidth="1"/>
    <col min="11790" max="11790" width="10.140625" customWidth="1"/>
    <col min="11791" max="11791" width="14" customWidth="1"/>
    <col min="11799" max="11799" width="10" customWidth="1"/>
    <col min="12043" max="12043" width="35.42578125" customWidth="1"/>
    <col min="12044" max="12044" width="10.140625" customWidth="1"/>
    <col min="12045" max="12045" width="14" customWidth="1"/>
    <col min="12046" max="12046" width="10.140625" customWidth="1"/>
    <col min="12047" max="12047" width="14" customWidth="1"/>
    <col min="12055" max="12055" width="10" customWidth="1"/>
    <col min="12299" max="12299" width="35.42578125" customWidth="1"/>
    <col min="12300" max="12300" width="10.140625" customWidth="1"/>
    <col min="12301" max="12301" width="14" customWidth="1"/>
    <col min="12302" max="12302" width="10.140625" customWidth="1"/>
    <col min="12303" max="12303" width="14" customWidth="1"/>
    <col min="12311" max="12311" width="10" customWidth="1"/>
    <col min="12555" max="12555" width="35.42578125" customWidth="1"/>
    <col min="12556" max="12556" width="10.140625" customWidth="1"/>
    <col min="12557" max="12557" width="14" customWidth="1"/>
    <col min="12558" max="12558" width="10.140625" customWidth="1"/>
    <col min="12559" max="12559" width="14" customWidth="1"/>
    <col min="12567" max="12567" width="10" customWidth="1"/>
    <col min="12811" max="12811" width="35.42578125" customWidth="1"/>
    <col min="12812" max="12812" width="10.140625" customWidth="1"/>
    <col min="12813" max="12813" width="14" customWidth="1"/>
    <col min="12814" max="12814" width="10.140625" customWidth="1"/>
    <col min="12815" max="12815" width="14" customWidth="1"/>
    <col min="12823" max="12823" width="10" customWidth="1"/>
    <col min="13067" max="13067" width="35.42578125" customWidth="1"/>
    <col min="13068" max="13068" width="10.140625" customWidth="1"/>
    <col min="13069" max="13069" width="14" customWidth="1"/>
    <col min="13070" max="13070" width="10.140625" customWidth="1"/>
    <col min="13071" max="13071" width="14" customWidth="1"/>
    <col min="13079" max="13079" width="10" customWidth="1"/>
    <col min="13323" max="13323" width="35.42578125" customWidth="1"/>
    <col min="13324" max="13324" width="10.140625" customWidth="1"/>
    <col min="13325" max="13325" width="14" customWidth="1"/>
    <col min="13326" max="13326" width="10.140625" customWidth="1"/>
    <col min="13327" max="13327" width="14" customWidth="1"/>
    <col min="13335" max="13335" width="10" customWidth="1"/>
    <col min="13579" max="13579" width="35.42578125" customWidth="1"/>
    <col min="13580" max="13580" width="10.140625" customWidth="1"/>
    <col min="13581" max="13581" width="14" customWidth="1"/>
    <col min="13582" max="13582" width="10.140625" customWidth="1"/>
    <col min="13583" max="13583" width="14" customWidth="1"/>
    <col min="13591" max="13591" width="10" customWidth="1"/>
    <col min="13835" max="13835" width="35.42578125" customWidth="1"/>
    <col min="13836" max="13836" width="10.140625" customWidth="1"/>
    <col min="13837" max="13837" width="14" customWidth="1"/>
    <col min="13838" max="13838" width="10.140625" customWidth="1"/>
    <col min="13839" max="13839" width="14" customWidth="1"/>
    <col min="13847" max="13847" width="10" customWidth="1"/>
    <col min="14091" max="14091" width="35.42578125" customWidth="1"/>
    <col min="14092" max="14092" width="10.140625" customWidth="1"/>
    <col min="14093" max="14093" width="14" customWidth="1"/>
    <col min="14094" max="14094" width="10.140625" customWidth="1"/>
    <col min="14095" max="14095" width="14" customWidth="1"/>
    <col min="14103" max="14103" width="10" customWidth="1"/>
    <col min="14347" max="14347" width="35.42578125" customWidth="1"/>
    <col min="14348" max="14348" width="10.140625" customWidth="1"/>
    <col min="14349" max="14349" width="14" customWidth="1"/>
    <col min="14350" max="14350" width="10.140625" customWidth="1"/>
    <col min="14351" max="14351" width="14" customWidth="1"/>
    <col min="14359" max="14359" width="10" customWidth="1"/>
    <col min="14603" max="14603" width="35.42578125" customWidth="1"/>
    <col min="14604" max="14604" width="10.140625" customWidth="1"/>
    <col min="14605" max="14605" width="14" customWidth="1"/>
    <col min="14606" max="14606" width="10.140625" customWidth="1"/>
    <col min="14607" max="14607" width="14" customWidth="1"/>
    <col min="14615" max="14615" width="10" customWidth="1"/>
    <col min="14859" max="14859" width="35.42578125" customWidth="1"/>
    <col min="14860" max="14860" width="10.140625" customWidth="1"/>
    <col min="14861" max="14861" width="14" customWidth="1"/>
    <col min="14862" max="14862" width="10.140625" customWidth="1"/>
    <col min="14863" max="14863" width="14" customWidth="1"/>
    <col min="14871" max="14871" width="10" customWidth="1"/>
    <col min="15115" max="15115" width="35.42578125" customWidth="1"/>
    <col min="15116" max="15116" width="10.140625" customWidth="1"/>
    <col min="15117" max="15117" width="14" customWidth="1"/>
    <col min="15118" max="15118" width="10.140625" customWidth="1"/>
    <col min="15119" max="15119" width="14" customWidth="1"/>
    <col min="15127" max="15127" width="10" customWidth="1"/>
    <col min="15371" max="15371" width="35.42578125" customWidth="1"/>
    <col min="15372" max="15372" width="10.140625" customWidth="1"/>
    <col min="15373" max="15373" width="14" customWidth="1"/>
    <col min="15374" max="15374" width="10.140625" customWidth="1"/>
    <col min="15375" max="15375" width="14" customWidth="1"/>
    <col min="15383" max="15383" width="10" customWidth="1"/>
    <col min="15627" max="15627" width="35.42578125" customWidth="1"/>
    <col min="15628" max="15628" width="10.140625" customWidth="1"/>
    <col min="15629" max="15629" width="14" customWidth="1"/>
    <col min="15630" max="15630" width="10.140625" customWidth="1"/>
    <col min="15631" max="15631" width="14" customWidth="1"/>
    <col min="15639" max="15639" width="10" customWidth="1"/>
    <col min="15883" max="15883" width="35.42578125" customWidth="1"/>
    <col min="15884" max="15884" width="10.140625" customWidth="1"/>
    <col min="15885" max="15885" width="14" customWidth="1"/>
    <col min="15886" max="15886" width="10.140625" customWidth="1"/>
    <col min="15887" max="15887" width="14" customWidth="1"/>
    <col min="15895" max="15895" width="10" customWidth="1"/>
    <col min="16139" max="16139" width="35.42578125" customWidth="1"/>
    <col min="16140" max="16140" width="10.140625" customWidth="1"/>
    <col min="16141" max="16141" width="14" customWidth="1"/>
    <col min="16142" max="16142" width="10.140625" customWidth="1"/>
    <col min="16143" max="16143" width="14" customWidth="1"/>
    <col min="16151" max="16151" width="10" customWidth="1"/>
  </cols>
  <sheetData>
    <row r="1" spans="1:22" ht="15.75">
      <c r="A1" s="39"/>
      <c r="B1" s="40" t="s">
        <v>36</v>
      </c>
      <c r="C1" s="41"/>
      <c r="D1" s="39"/>
      <c r="E1" s="39"/>
      <c r="F1" s="39"/>
      <c r="G1" s="39"/>
      <c r="H1" s="39"/>
      <c r="I1" s="39"/>
      <c r="J1" s="39"/>
      <c r="K1" s="39"/>
      <c r="L1" s="39"/>
      <c r="M1" s="39"/>
      <c r="N1" s="39"/>
      <c r="O1" s="39"/>
      <c r="P1" s="39"/>
    </row>
    <row r="2" spans="1:22" ht="15.75">
      <c r="A2" s="39"/>
      <c r="B2" s="40" t="s">
        <v>58</v>
      </c>
      <c r="C2" s="41"/>
      <c r="D2" s="39"/>
      <c r="E2" s="39"/>
      <c r="F2" s="39"/>
      <c r="G2" s="39"/>
      <c r="H2" s="39"/>
      <c r="I2" s="39"/>
      <c r="J2" s="39"/>
      <c r="K2" s="39"/>
      <c r="L2" s="39"/>
      <c r="M2" s="39"/>
      <c r="N2" s="39"/>
      <c r="O2" s="39"/>
      <c r="P2" s="39"/>
    </row>
    <row r="3" spans="1:22" ht="15.75">
      <c r="A3" s="39"/>
      <c r="B3" s="40" t="s">
        <v>16</v>
      </c>
      <c r="C3" s="41"/>
      <c r="D3" s="39"/>
      <c r="E3" s="50" t="s">
        <v>59</v>
      </c>
      <c r="F3" s="39"/>
      <c r="G3" s="39"/>
      <c r="H3" s="39"/>
      <c r="I3" s="39"/>
      <c r="J3" s="39"/>
      <c r="K3" s="39"/>
      <c r="L3" s="39"/>
      <c r="M3" s="39"/>
      <c r="N3" s="39"/>
      <c r="O3" s="39"/>
      <c r="P3" s="39"/>
      <c r="V3" s="2" t="s">
        <v>92</v>
      </c>
    </row>
    <row r="4" spans="1:22">
      <c r="A4" s="50" t="s">
        <v>11</v>
      </c>
      <c r="B4" s="106"/>
      <c r="C4" s="106"/>
      <c r="D4" s="39"/>
      <c r="E4" s="39"/>
      <c r="F4" s="39"/>
      <c r="G4" s="39"/>
      <c r="H4" s="39"/>
      <c r="I4" s="39"/>
      <c r="J4" s="39"/>
      <c r="K4" s="39"/>
      <c r="L4" s="39"/>
      <c r="M4" s="39"/>
      <c r="N4" s="39"/>
      <c r="O4" s="39"/>
      <c r="P4" s="39"/>
    </row>
    <row r="5" spans="1:22">
      <c r="A5" s="39"/>
      <c r="B5" s="106"/>
      <c r="C5" s="106"/>
      <c r="D5" s="39"/>
      <c r="E5" s="39"/>
      <c r="F5" s="39"/>
      <c r="G5" s="39"/>
      <c r="H5" s="39"/>
      <c r="I5" s="39"/>
      <c r="J5" s="39"/>
      <c r="K5" s="39"/>
      <c r="L5" s="39"/>
      <c r="M5" s="39"/>
      <c r="N5" s="39"/>
      <c r="O5" s="39"/>
      <c r="P5" s="39"/>
    </row>
    <row r="6" spans="1:22">
      <c r="A6" s="39" t="s">
        <v>0</v>
      </c>
      <c r="B6" s="46">
        <f>'Disability $ details 05-06'!B6*0.13</f>
        <v>70.2</v>
      </c>
      <c r="C6" s="46"/>
      <c r="D6" s="247" t="s">
        <v>217</v>
      </c>
      <c r="E6" s="39" t="s">
        <v>354</v>
      </c>
      <c r="F6" s="39"/>
      <c r="G6" s="39"/>
      <c r="H6" s="39"/>
      <c r="I6" s="39"/>
      <c r="J6" s="39"/>
      <c r="K6" s="39"/>
      <c r="L6" s="39"/>
      <c r="M6" s="39"/>
      <c r="N6" s="39"/>
      <c r="O6" s="39"/>
      <c r="P6" s="39"/>
      <c r="V6" s="38" t="s">
        <v>344</v>
      </c>
    </row>
    <row r="7" spans="1:22">
      <c r="A7" s="39" t="s">
        <v>1</v>
      </c>
      <c r="B7" s="46">
        <f>'Disability $ details 05-06'!B7*0.13</f>
        <v>113.75</v>
      </c>
      <c r="C7" s="46"/>
      <c r="D7" s="247" t="s">
        <v>217</v>
      </c>
      <c r="E7" s="39" t="s">
        <v>218</v>
      </c>
      <c r="F7" s="39"/>
      <c r="G7" s="39"/>
      <c r="H7" s="39"/>
      <c r="I7" s="39"/>
      <c r="J7" s="39"/>
      <c r="K7" s="39"/>
      <c r="L7" s="39"/>
      <c r="M7" s="39"/>
      <c r="N7" s="39"/>
      <c r="O7" s="39"/>
      <c r="P7" s="39"/>
      <c r="Q7" t="s">
        <v>93</v>
      </c>
    </row>
    <row r="8" spans="1:22">
      <c r="A8" s="39" t="s">
        <v>14</v>
      </c>
      <c r="B8" s="46">
        <f>'Disability $ details 05-06'!B8*0.13</f>
        <v>11.05</v>
      </c>
      <c r="C8" s="46"/>
      <c r="D8" s="247" t="s">
        <v>217</v>
      </c>
      <c r="E8" s="39" t="s">
        <v>461</v>
      </c>
      <c r="F8" s="39"/>
      <c r="G8" s="39"/>
      <c r="H8" s="39"/>
      <c r="I8" s="39"/>
      <c r="J8" s="39"/>
      <c r="K8" s="39"/>
      <c r="L8" s="39"/>
      <c r="M8" s="39"/>
      <c r="N8" s="39"/>
      <c r="O8" s="39"/>
      <c r="P8" s="39"/>
    </row>
    <row r="9" spans="1:22">
      <c r="A9" s="39" t="s">
        <v>2</v>
      </c>
      <c r="B9" s="46">
        <f>'Disability $ details 05-06'!B9*0.13</f>
        <v>0.65</v>
      </c>
      <c r="C9" s="46"/>
      <c r="D9" s="247" t="s">
        <v>217</v>
      </c>
      <c r="E9" s="39"/>
      <c r="F9" s="39"/>
      <c r="G9" s="39"/>
      <c r="H9" s="39"/>
      <c r="I9" s="39"/>
      <c r="J9" s="39"/>
      <c r="K9" s="39"/>
      <c r="L9" s="39"/>
      <c r="M9" s="39"/>
      <c r="N9" s="39"/>
      <c r="O9" s="39"/>
      <c r="P9" s="39"/>
    </row>
    <row r="10" spans="1:22">
      <c r="A10" s="39" t="s">
        <v>68</v>
      </c>
      <c r="B10" s="46">
        <f>'Disability $ details 05-06'!B10*0.13</f>
        <v>0</v>
      </c>
      <c r="C10" s="46"/>
      <c r="D10" s="247" t="s">
        <v>217</v>
      </c>
      <c r="E10" s="39"/>
      <c r="F10" s="39"/>
      <c r="G10" s="39"/>
      <c r="H10" s="39"/>
      <c r="I10" s="39"/>
      <c r="J10" s="39"/>
      <c r="K10" s="39"/>
      <c r="L10" s="39"/>
      <c r="M10" s="39"/>
      <c r="N10" s="39"/>
      <c r="O10" s="39"/>
      <c r="P10" s="39"/>
    </row>
    <row r="11" spans="1:22">
      <c r="A11" s="39" t="s">
        <v>3</v>
      </c>
      <c r="B11" s="46">
        <f>'Disability $ details 05-06'!B11*0.13</f>
        <v>14.950000000000001</v>
      </c>
      <c r="C11" s="46"/>
      <c r="D11" s="247" t="s">
        <v>217</v>
      </c>
      <c r="E11" s="39"/>
      <c r="F11" s="39"/>
      <c r="G11" s="39"/>
      <c r="H11" s="39"/>
      <c r="I11" s="39"/>
      <c r="J11" s="39"/>
      <c r="K11" s="39"/>
      <c r="L11" s="39"/>
      <c r="M11" s="39"/>
      <c r="N11" s="39"/>
      <c r="O11" s="39"/>
      <c r="P11" s="39"/>
    </row>
    <row r="12" spans="1:22">
      <c r="A12" s="39" t="s">
        <v>15</v>
      </c>
      <c r="B12" s="46">
        <f>'Disability $ details 05-06'!B12*0.13</f>
        <v>11.700000000000001</v>
      </c>
      <c r="C12" s="46"/>
      <c r="D12" s="247" t="s">
        <v>217</v>
      </c>
      <c r="E12" s="39"/>
      <c r="F12" s="39"/>
      <c r="G12" s="39"/>
      <c r="H12" s="39"/>
      <c r="I12" s="39"/>
      <c r="J12" s="39"/>
      <c r="K12" s="39"/>
      <c r="L12" s="39"/>
      <c r="M12" s="39"/>
      <c r="N12" s="39"/>
      <c r="O12" s="39"/>
      <c r="P12" s="39"/>
    </row>
    <row r="13" spans="1:22">
      <c r="A13" s="258" t="s">
        <v>24</v>
      </c>
      <c r="B13" s="104">
        <f>SUM(B6:B12)</f>
        <v>222.29999999999998</v>
      </c>
      <c r="C13" s="104"/>
      <c r="D13" s="247" t="s">
        <v>217</v>
      </c>
      <c r="E13" s="39"/>
      <c r="F13" s="39"/>
      <c r="G13" s="39"/>
      <c r="H13" s="39"/>
      <c r="I13" s="39"/>
      <c r="J13" s="39"/>
      <c r="K13" s="39"/>
      <c r="L13" s="39"/>
      <c r="M13" s="39"/>
      <c r="N13" s="39"/>
      <c r="O13" s="39"/>
      <c r="P13" s="39"/>
    </row>
    <row r="14" spans="1:22">
      <c r="A14" s="39"/>
      <c r="B14" s="46"/>
      <c r="C14" s="46"/>
      <c r="D14" s="247"/>
      <c r="E14" s="39"/>
      <c r="F14" s="39"/>
      <c r="G14" s="39"/>
      <c r="H14" s="39"/>
      <c r="I14" s="39"/>
      <c r="J14" s="39"/>
      <c r="K14" s="39"/>
      <c r="L14" s="39"/>
      <c r="M14" s="39"/>
      <c r="N14" s="39"/>
      <c r="O14" s="39"/>
      <c r="P14" s="39"/>
    </row>
    <row r="15" spans="1:22">
      <c r="A15" s="50" t="s">
        <v>4</v>
      </c>
      <c r="B15" s="46"/>
      <c r="C15" s="46"/>
      <c r="D15" s="247"/>
      <c r="E15" s="39"/>
      <c r="F15" s="39"/>
      <c r="G15" s="39"/>
      <c r="H15" s="39"/>
      <c r="I15" s="39"/>
      <c r="J15" s="39"/>
      <c r="K15" s="39"/>
      <c r="L15" s="39"/>
      <c r="M15" s="39"/>
      <c r="N15" s="39"/>
      <c r="O15" s="39"/>
      <c r="P15" s="39"/>
    </row>
    <row r="16" spans="1:22">
      <c r="A16" s="39" t="s">
        <v>5</v>
      </c>
      <c r="B16" s="46">
        <v>505.9</v>
      </c>
      <c r="C16" s="46"/>
      <c r="D16" s="247"/>
      <c r="E16" s="39" t="s">
        <v>328</v>
      </c>
      <c r="F16" s="39"/>
      <c r="G16" s="39"/>
      <c r="H16" s="39"/>
      <c r="I16" s="39"/>
      <c r="J16" s="39"/>
      <c r="K16" s="39"/>
      <c r="L16" s="39"/>
      <c r="M16" s="39"/>
      <c r="N16" s="39"/>
      <c r="O16" s="39"/>
      <c r="P16" s="39"/>
      <c r="V16" t="s">
        <v>220</v>
      </c>
    </row>
    <row r="17" spans="1:22">
      <c r="A17" s="39" t="s">
        <v>69</v>
      </c>
      <c r="B17" s="105" t="s">
        <v>322</v>
      </c>
      <c r="C17" s="105"/>
      <c r="D17" s="247"/>
      <c r="E17" s="39"/>
      <c r="F17" s="39"/>
      <c r="G17" s="39"/>
      <c r="H17" s="39"/>
      <c r="I17" s="39"/>
      <c r="J17" s="39"/>
      <c r="K17" s="39"/>
      <c r="L17" s="39"/>
      <c r="M17" s="39"/>
      <c r="N17" s="39"/>
      <c r="O17" s="39"/>
      <c r="P17" s="39"/>
    </row>
    <row r="18" spans="1:22">
      <c r="A18" s="39" t="s">
        <v>6</v>
      </c>
      <c r="B18" s="46">
        <v>131.4</v>
      </c>
      <c r="C18" s="46"/>
      <c r="D18" s="247"/>
      <c r="E18" s="39" t="s">
        <v>316</v>
      </c>
      <c r="F18" s="39"/>
      <c r="G18" s="39"/>
      <c r="H18" s="39"/>
      <c r="I18" s="39"/>
      <c r="J18" s="39"/>
      <c r="K18" s="39"/>
      <c r="L18" s="39"/>
      <c r="M18" s="39"/>
      <c r="N18" s="39"/>
      <c r="O18" s="39"/>
      <c r="P18" s="39"/>
      <c r="V18" s="38" t="s">
        <v>72</v>
      </c>
    </row>
    <row r="19" spans="1:22">
      <c r="A19" s="258" t="s">
        <v>24</v>
      </c>
      <c r="B19" s="104">
        <f>SUM(B16:B18)</f>
        <v>637.29999999999995</v>
      </c>
      <c r="C19" s="104"/>
      <c r="D19" s="247"/>
      <c r="E19" s="39"/>
      <c r="F19" s="39"/>
      <c r="G19" s="39"/>
      <c r="H19" s="39"/>
      <c r="I19" s="39"/>
      <c r="J19" s="39"/>
      <c r="K19" s="39"/>
      <c r="L19" s="39"/>
      <c r="M19" s="39"/>
      <c r="N19" s="39"/>
      <c r="O19" s="39"/>
      <c r="P19" s="39"/>
    </row>
    <row r="20" spans="1:22">
      <c r="A20" s="39"/>
      <c r="B20" s="46"/>
      <c r="C20" s="46"/>
      <c r="D20" s="247"/>
      <c r="E20" s="39"/>
      <c r="F20" s="39"/>
      <c r="G20" s="39"/>
      <c r="H20" s="39"/>
      <c r="I20" s="39"/>
      <c r="J20" s="39"/>
      <c r="K20" s="39"/>
      <c r="L20" s="39"/>
      <c r="M20" s="39"/>
      <c r="N20" s="39"/>
      <c r="O20" s="39"/>
      <c r="P20" s="39"/>
    </row>
    <row r="21" spans="1:22">
      <c r="A21" s="39" t="s">
        <v>101</v>
      </c>
      <c r="B21" s="46">
        <f>0.199*'Disability $ details 05-06'!B22</f>
        <v>329.54400000000004</v>
      </c>
      <c r="C21" s="46"/>
      <c r="D21" s="247"/>
      <c r="E21" s="39" t="s">
        <v>333</v>
      </c>
      <c r="F21" s="39"/>
      <c r="G21" s="39"/>
      <c r="H21" s="39"/>
      <c r="I21" s="39"/>
      <c r="J21" s="39"/>
      <c r="K21" s="39"/>
      <c r="L21" s="39"/>
      <c r="M21" s="39"/>
      <c r="N21" s="39"/>
      <c r="O21" s="39"/>
      <c r="P21" s="39"/>
      <c r="V21" t="s">
        <v>102</v>
      </c>
    </row>
    <row r="22" spans="1:22">
      <c r="A22" s="258" t="s">
        <v>221</v>
      </c>
      <c r="B22" s="104">
        <f>SUM(B21)</f>
        <v>329.54400000000004</v>
      </c>
      <c r="C22" s="104"/>
      <c r="D22" s="247"/>
      <c r="E22" s="39" t="s">
        <v>615</v>
      </c>
      <c r="F22" s="39"/>
      <c r="G22" s="39"/>
      <c r="H22" s="39"/>
      <c r="I22" s="39"/>
      <c r="J22" s="39"/>
      <c r="K22" s="39"/>
      <c r="L22" s="39"/>
      <c r="M22" s="39"/>
      <c r="N22" s="39"/>
      <c r="O22" s="39"/>
      <c r="P22" s="39"/>
      <c r="V22" t="s">
        <v>103</v>
      </c>
    </row>
    <row r="23" spans="1:22">
      <c r="A23" s="258"/>
      <c r="B23" s="104"/>
      <c r="C23" s="104"/>
      <c r="D23" s="247"/>
      <c r="E23" s="39"/>
      <c r="F23" s="39"/>
      <c r="G23" s="39"/>
      <c r="H23" s="39"/>
      <c r="I23" s="39"/>
      <c r="J23" s="39"/>
      <c r="K23" s="39"/>
      <c r="L23" s="39"/>
      <c r="M23" s="39"/>
      <c r="N23" s="39"/>
      <c r="O23" s="39"/>
      <c r="P23" s="39"/>
    </row>
    <row r="24" spans="1:22">
      <c r="A24" s="50" t="s">
        <v>334</v>
      </c>
      <c r="B24" s="46"/>
      <c r="C24" s="46"/>
      <c r="D24" s="247"/>
      <c r="E24" s="39"/>
      <c r="F24" s="39"/>
      <c r="G24" s="39"/>
      <c r="H24" s="39"/>
      <c r="I24" s="39"/>
      <c r="J24" s="39"/>
      <c r="K24" s="39"/>
      <c r="L24" s="39"/>
      <c r="M24" s="39"/>
      <c r="N24" s="39"/>
      <c r="O24" s="39"/>
      <c r="P24" s="39"/>
      <c r="U24" s="9"/>
    </row>
    <row r="25" spans="1:22">
      <c r="A25" s="39" t="s">
        <v>335</v>
      </c>
      <c r="B25" s="46">
        <f>'SA by provi 05-06'!B35</f>
        <v>576.1</v>
      </c>
      <c r="C25" s="46"/>
      <c r="D25" s="44"/>
      <c r="E25" s="150" t="s">
        <v>330</v>
      </c>
      <c r="F25" s="39"/>
      <c r="G25" s="39"/>
      <c r="H25" s="39"/>
      <c r="I25" s="39"/>
      <c r="J25" s="39"/>
      <c r="K25" s="39"/>
      <c r="L25" s="39"/>
      <c r="M25" s="39"/>
      <c r="N25" s="39"/>
      <c r="O25" s="39"/>
      <c r="P25" s="39"/>
      <c r="V25" t="s">
        <v>263</v>
      </c>
    </row>
    <row r="26" spans="1:22">
      <c r="A26" s="39"/>
      <c r="B26" s="46"/>
      <c r="C26" s="46"/>
      <c r="D26" s="44"/>
      <c r="E26" s="39" t="s">
        <v>331</v>
      </c>
      <c r="F26" s="39"/>
      <c r="G26" s="39"/>
      <c r="H26" s="39"/>
      <c r="I26" s="39"/>
      <c r="J26" s="39"/>
      <c r="K26" s="39"/>
      <c r="L26" s="39"/>
      <c r="M26" s="39"/>
      <c r="N26" s="39"/>
      <c r="O26" s="39"/>
      <c r="P26" s="39"/>
    </row>
    <row r="27" spans="1:22">
      <c r="A27" s="39"/>
      <c r="B27" s="46"/>
      <c r="C27" s="46"/>
      <c r="D27" s="44"/>
      <c r="E27" s="39" t="s">
        <v>332</v>
      </c>
      <c r="F27" s="39"/>
      <c r="G27" s="39"/>
      <c r="H27" s="39"/>
      <c r="I27" s="39"/>
      <c r="J27" s="39"/>
      <c r="K27" s="39"/>
      <c r="L27" s="39"/>
      <c r="M27" s="39"/>
      <c r="N27" s="39"/>
      <c r="O27" s="39"/>
      <c r="P27" s="39"/>
    </row>
    <row r="28" spans="1:22">
      <c r="A28" s="39" t="s">
        <v>12</v>
      </c>
      <c r="B28" s="46">
        <f>94.2*0.55</f>
        <v>51.81</v>
      </c>
      <c r="C28" s="46" t="s">
        <v>237</v>
      </c>
      <c r="D28" s="247"/>
      <c r="E28" s="106" t="s">
        <v>656</v>
      </c>
      <c r="F28" s="39"/>
      <c r="G28" s="39"/>
      <c r="H28" s="39"/>
      <c r="I28" s="39"/>
      <c r="J28" s="39"/>
      <c r="K28" s="39"/>
      <c r="L28" s="39"/>
      <c r="M28" s="39"/>
      <c r="N28" s="39"/>
      <c r="O28" s="39"/>
      <c r="P28" s="39"/>
    </row>
    <row r="29" spans="1:22">
      <c r="A29" s="258" t="s">
        <v>24</v>
      </c>
      <c r="B29" s="104">
        <f>SUM(B25:B28)</f>
        <v>627.91000000000008</v>
      </c>
      <c r="C29" s="104" t="s">
        <v>237</v>
      </c>
      <c r="D29" s="247"/>
      <c r="E29" s="39"/>
      <c r="F29" s="39"/>
      <c r="G29" s="39"/>
      <c r="H29" s="39"/>
      <c r="I29" s="39"/>
      <c r="J29" s="39"/>
      <c r="K29" s="39"/>
      <c r="L29" s="39"/>
      <c r="M29" s="39"/>
      <c r="N29" s="39"/>
      <c r="O29" s="39"/>
      <c r="P29" s="39"/>
    </row>
    <row r="30" spans="1:22">
      <c r="A30" s="258"/>
      <c r="B30" s="104"/>
      <c r="C30" s="104"/>
      <c r="D30" s="247"/>
      <c r="E30" s="39"/>
      <c r="F30" s="39"/>
      <c r="G30" s="39"/>
      <c r="H30" s="39"/>
      <c r="I30" s="39"/>
      <c r="J30" s="39"/>
      <c r="K30" s="39"/>
      <c r="L30" s="39"/>
      <c r="M30" s="39"/>
      <c r="N30" s="39"/>
      <c r="O30" s="39"/>
      <c r="P30" s="39"/>
    </row>
    <row r="31" spans="1:22">
      <c r="A31" s="50" t="s">
        <v>13</v>
      </c>
      <c r="B31" s="46"/>
      <c r="C31" s="46"/>
      <c r="D31" s="247"/>
      <c r="E31" s="39"/>
      <c r="F31" s="39"/>
      <c r="G31" s="39"/>
      <c r="H31" s="39"/>
      <c r="I31" s="39"/>
      <c r="J31" s="39"/>
      <c r="K31" s="39"/>
      <c r="L31" s="39"/>
      <c r="M31" s="39"/>
      <c r="N31" s="39"/>
      <c r="O31" s="39"/>
      <c r="P31" s="39"/>
    </row>
    <row r="32" spans="1:22">
      <c r="A32" s="39" t="s">
        <v>7</v>
      </c>
      <c r="B32" s="46">
        <v>642.20000000000005</v>
      </c>
      <c r="C32" s="46"/>
      <c r="D32" s="247">
        <v>2005</v>
      </c>
      <c r="E32" s="39" t="s">
        <v>96</v>
      </c>
      <c r="F32" s="39"/>
      <c r="G32" s="39"/>
      <c r="H32" s="39"/>
      <c r="I32" s="39"/>
      <c r="J32" s="39"/>
      <c r="K32" s="39"/>
      <c r="L32" s="39"/>
      <c r="M32" s="39"/>
      <c r="N32" s="39"/>
      <c r="O32" s="39"/>
      <c r="P32" s="39"/>
      <c r="V32" t="s">
        <v>324</v>
      </c>
    </row>
    <row r="33" spans="1:22">
      <c r="A33" s="39" t="s">
        <v>8</v>
      </c>
      <c r="B33" s="46"/>
      <c r="C33" s="46"/>
      <c r="D33" s="247"/>
      <c r="E33" s="39" t="s">
        <v>70</v>
      </c>
      <c r="F33" s="39"/>
      <c r="G33" s="39"/>
      <c r="H33" s="39"/>
      <c r="I33" s="39"/>
      <c r="J33" s="39"/>
      <c r="K33" s="39"/>
      <c r="L33" s="39"/>
      <c r="M33" s="39"/>
      <c r="N33" s="39"/>
      <c r="O33" s="39"/>
      <c r="P33" s="39"/>
    </row>
    <row r="34" spans="1:22">
      <c r="A34" s="258" t="s">
        <v>57</v>
      </c>
      <c r="B34" s="104">
        <f>SUM(B32:B33)</f>
        <v>642.20000000000005</v>
      </c>
      <c r="C34" s="104"/>
      <c r="D34" s="247"/>
      <c r="E34" s="39"/>
      <c r="F34" s="39"/>
      <c r="G34" s="39"/>
      <c r="H34" s="39"/>
      <c r="I34" s="39"/>
      <c r="J34" s="39"/>
      <c r="K34" s="39"/>
      <c r="L34" s="39"/>
      <c r="M34" s="39"/>
      <c r="N34" s="39"/>
      <c r="O34" s="39"/>
      <c r="P34" s="39"/>
    </row>
    <row r="35" spans="1:22">
      <c r="A35" s="39" t="s">
        <v>64</v>
      </c>
      <c r="B35" s="46"/>
      <c r="C35" s="46"/>
      <c r="D35" s="247"/>
      <c r="E35" s="39"/>
      <c r="F35" s="39"/>
      <c r="G35" s="39"/>
      <c r="H35" s="39"/>
      <c r="I35" s="39"/>
      <c r="J35" s="39"/>
      <c r="K35" s="39"/>
      <c r="L35" s="39"/>
      <c r="M35" s="39"/>
      <c r="N35" s="39"/>
      <c r="O35" s="39"/>
      <c r="P35" s="39"/>
    </row>
    <row r="36" spans="1:22">
      <c r="A36" s="39" t="s">
        <v>9</v>
      </c>
      <c r="B36" s="46">
        <v>108</v>
      </c>
      <c r="C36" s="46" t="s">
        <v>237</v>
      </c>
      <c r="D36" s="247">
        <v>2005</v>
      </c>
      <c r="E36" s="39" t="s">
        <v>61</v>
      </c>
      <c r="F36" s="39"/>
      <c r="G36" s="39"/>
      <c r="H36" s="39"/>
      <c r="I36" s="39"/>
      <c r="J36" s="39"/>
      <c r="K36" s="39"/>
      <c r="L36" s="39"/>
      <c r="M36" s="39"/>
      <c r="N36" s="39"/>
      <c r="O36" s="39"/>
      <c r="P36" s="39"/>
      <c r="V36" t="s">
        <v>75</v>
      </c>
    </row>
    <row r="37" spans="1:22">
      <c r="A37" s="39" t="s">
        <v>10</v>
      </c>
      <c r="B37" s="46">
        <v>515</v>
      </c>
      <c r="C37" s="46" t="s">
        <v>237</v>
      </c>
      <c r="D37" s="247"/>
      <c r="E37" s="39"/>
      <c r="F37" s="39"/>
      <c r="G37" s="39"/>
      <c r="H37" s="39"/>
      <c r="I37" s="39"/>
      <c r="J37" s="39"/>
      <c r="K37" s="39"/>
      <c r="L37" s="39"/>
      <c r="M37" s="39"/>
      <c r="N37" s="39"/>
      <c r="O37" s="39"/>
      <c r="P37" s="39"/>
      <c r="V37" t="s">
        <v>378</v>
      </c>
    </row>
    <row r="38" spans="1:22">
      <c r="A38" s="258" t="s">
        <v>24</v>
      </c>
      <c r="B38" s="104">
        <v>623</v>
      </c>
      <c r="C38" s="104" t="s">
        <v>237</v>
      </c>
      <c r="D38" s="247"/>
      <c r="E38" s="39"/>
      <c r="F38" s="39"/>
      <c r="G38" s="39"/>
      <c r="H38" s="39"/>
      <c r="I38" s="39"/>
      <c r="J38" s="39"/>
      <c r="K38" s="39"/>
      <c r="L38" s="39"/>
      <c r="M38" s="39"/>
      <c r="N38" s="39"/>
      <c r="O38" s="39"/>
      <c r="P38" s="39"/>
    </row>
    <row r="39" spans="1:22">
      <c r="A39" s="39"/>
      <c r="B39" s="46"/>
      <c r="C39" s="46"/>
      <c r="D39" s="247"/>
      <c r="E39" s="39"/>
      <c r="F39" s="39"/>
      <c r="G39" s="39"/>
      <c r="H39" s="39"/>
      <c r="I39" s="39"/>
      <c r="J39" s="39"/>
      <c r="K39" s="39"/>
      <c r="L39" s="39"/>
      <c r="M39" s="39"/>
      <c r="N39" s="39"/>
      <c r="O39" s="39"/>
      <c r="P39" s="39"/>
    </row>
    <row r="40" spans="1:22" ht="15.75">
      <c r="A40" s="48" t="s">
        <v>23</v>
      </c>
      <c r="B40" s="49">
        <f>SUM(B13+B19+B22+B29+B34+B38)</f>
        <v>3082.2539999999999</v>
      </c>
      <c r="C40" s="49" t="s">
        <v>237</v>
      </c>
      <c r="D40" s="39"/>
      <c r="E40" s="39"/>
      <c r="F40" s="39"/>
      <c r="G40" s="39"/>
      <c r="H40" s="39"/>
      <c r="I40" s="39"/>
      <c r="J40" s="39"/>
      <c r="K40" s="39"/>
      <c r="L40" s="39"/>
      <c r="M40" s="39"/>
      <c r="N40" s="39"/>
      <c r="O40" s="39"/>
      <c r="P40" s="39"/>
    </row>
    <row r="41" spans="1:22" ht="15.75">
      <c r="A41" s="48"/>
      <c r="B41" s="48"/>
      <c r="C41" s="48"/>
      <c r="D41" s="39"/>
      <c r="E41" s="39"/>
      <c r="F41" s="39"/>
      <c r="G41" s="39"/>
      <c r="H41" s="39"/>
      <c r="I41" s="39"/>
      <c r="J41" s="39"/>
      <c r="K41" s="39"/>
      <c r="L41" s="39"/>
      <c r="M41" s="39"/>
      <c r="N41" s="39"/>
      <c r="O41" s="39"/>
      <c r="P41" s="39"/>
    </row>
    <row r="42" spans="1:22" ht="15.75">
      <c r="A42" s="106" t="s">
        <v>673</v>
      </c>
      <c r="B42" s="48"/>
      <c r="C42" s="48"/>
      <c r="D42" s="39"/>
      <c r="E42" s="39"/>
      <c r="F42" s="39"/>
      <c r="G42" s="39"/>
      <c r="H42" s="39"/>
      <c r="I42" s="39"/>
      <c r="J42" s="39"/>
      <c r="K42" s="39"/>
      <c r="L42" s="39"/>
      <c r="M42" s="39"/>
      <c r="N42" s="39"/>
      <c r="O42" s="39"/>
      <c r="P42" s="39"/>
    </row>
    <row r="43" spans="1:22">
      <c r="B43" s="39"/>
      <c r="C43" s="39"/>
    </row>
    <row r="44" spans="1:22" ht="15.75">
      <c r="B44" s="40" t="s">
        <v>36</v>
      </c>
      <c r="C44" s="41"/>
    </row>
    <row r="45" spans="1:22" ht="15.75">
      <c r="B45" s="40" t="s">
        <v>181</v>
      </c>
      <c r="C45" s="41"/>
    </row>
    <row r="46" spans="1:22" ht="15.75">
      <c r="B46" s="40" t="s">
        <v>16</v>
      </c>
      <c r="C46" s="41"/>
    </row>
    <row r="47" spans="1:22">
      <c r="A47" s="2" t="s">
        <v>11</v>
      </c>
      <c r="B47" s="106"/>
      <c r="C47" s="106"/>
    </row>
    <row r="48" spans="1:22">
      <c r="B48" s="106"/>
      <c r="C48" s="106"/>
    </row>
    <row r="49" spans="1:31">
      <c r="A49" t="s">
        <v>0</v>
      </c>
      <c r="B49" s="46">
        <f>'CAN Disability details 09-10'!B6*0.132</f>
        <v>81.84</v>
      </c>
      <c r="C49" s="46"/>
      <c r="E49" t="s">
        <v>354</v>
      </c>
      <c r="V49" s="38" t="s">
        <v>344</v>
      </c>
    </row>
    <row r="50" spans="1:31">
      <c r="A50" t="s">
        <v>1</v>
      </c>
      <c r="B50" s="46">
        <f>'CAN Disability details 09-10'!B7*0.132</f>
        <v>132</v>
      </c>
      <c r="C50" s="46"/>
      <c r="E50" t="s">
        <v>218</v>
      </c>
    </row>
    <row r="51" spans="1:31">
      <c r="A51" t="s">
        <v>14</v>
      </c>
      <c r="B51" s="46">
        <f>'CAN Disability details 09-10'!B8*0.132</f>
        <v>12.804</v>
      </c>
      <c r="C51" s="46"/>
      <c r="E51" t="s">
        <v>370</v>
      </c>
    </row>
    <row r="52" spans="1:31">
      <c r="A52" t="s">
        <v>2</v>
      </c>
      <c r="B52" s="46">
        <f>'CAN Disability details 09-10'!B9*0.132</f>
        <v>0.66</v>
      </c>
      <c r="C52" s="46"/>
    </row>
    <row r="53" spans="1:31">
      <c r="A53" t="s">
        <v>68</v>
      </c>
      <c r="B53" s="46">
        <f>'CAN Disability details 09-10'!B10*0.132</f>
        <v>0</v>
      </c>
      <c r="C53" s="46"/>
      <c r="E53" s="7"/>
    </row>
    <row r="54" spans="1:31">
      <c r="A54" t="s">
        <v>3</v>
      </c>
      <c r="B54" s="46">
        <f>'CAN Disability details 09-10'!B11*0.132</f>
        <v>17.16</v>
      </c>
      <c r="C54" s="46"/>
      <c r="E54" s="7"/>
    </row>
    <row r="55" spans="1:31">
      <c r="A55" t="s">
        <v>15</v>
      </c>
      <c r="B55" s="46">
        <f>'CAN Disability details 09-10'!B12*0.132</f>
        <v>25.938000000000002</v>
      </c>
      <c r="C55" s="46"/>
      <c r="E55" s="7"/>
    </row>
    <row r="56" spans="1:31">
      <c r="A56" s="3" t="s">
        <v>24</v>
      </c>
      <c r="B56" s="104">
        <f>SUM(B49:B55)</f>
        <v>270.40199999999999</v>
      </c>
      <c r="C56" s="104"/>
      <c r="E56" s="7"/>
    </row>
    <row r="57" spans="1:31">
      <c r="B57" s="46"/>
      <c r="C57" s="46"/>
    </row>
    <row r="58" spans="1:31">
      <c r="A58" s="2" t="s">
        <v>4</v>
      </c>
      <c r="B58" s="46"/>
      <c r="C58" s="46"/>
    </row>
    <row r="59" spans="1:31">
      <c r="A59" t="s">
        <v>5</v>
      </c>
      <c r="B59" s="46">
        <v>603.4</v>
      </c>
      <c r="C59" s="46"/>
      <c r="E59" t="s">
        <v>325</v>
      </c>
    </row>
    <row r="60" spans="1:31">
      <c r="A60" s="39" t="s">
        <v>69</v>
      </c>
      <c r="B60" s="105"/>
      <c r="C60" s="105"/>
      <c r="D60" s="39"/>
      <c r="E60" s="39"/>
      <c r="F60" s="39"/>
      <c r="G60" s="39"/>
      <c r="H60" s="39"/>
      <c r="I60" s="39"/>
      <c r="J60" s="39"/>
      <c r="K60" s="39"/>
      <c r="L60" s="39"/>
      <c r="M60" s="39"/>
      <c r="N60" s="39"/>
      <c r="O60" s="39"/>
    </row>
    <row r="61" spans="1:31">
      <c r="A61" s="39" t="s">
        <v>6</v>
      </c>
      <c r="B61" s="46">
        <v>165.7</v>
      </c>
      <c r="C61" s="46" t="s">
        <v>237</v>
      </c>
      <c r="D61" s="39"/>
      <c r="E61" s="39" t="s">
        <v>394</v>
      </c>
      <c r="F61" s="39"/>
      <c r="G61" s="39"/>
      <c r="H61" s="39"/>
      <c r="I61" s="39"/>
      <c r="J61" s="39"/>
      <c r="K61" s="39"/>
      <c r="L61" s="39"/>
      <c r="M61" s="39"/>
      <c r="N61" s="39"/>
      <c r="O61" s="39"/>
      <c r="P61" s="39"/>
      <c r="Q61" s="39"/>
      <c r="R61" s="39"/>
      <c r="S61" s="39"/>
      <c r="T61" s="39"/>
      <c r="U61" s="39"/>
      <c r="V61" s="145" t="s">
        <v>395</v>
      </c>
      <c r="W61" s="39"/>
      <c r="X61" s="39"/>
      <c r="Y61" s="39"/>
      <c r="Z61" s="39"/>
      <c r="AA61" s="39"/>
      <c r="AB61" s="39"/>
      <c r="AC61" s="39"/>
      <c r="AD61" s="39"/>
      <c r="AE61" s="39"/>
    </row>
    <row r="62" spans="1:31">
      <c r="A62" s="258" t="s">
        <v>24</v>
      </c>
      <c r="B62" s="104">
        <f>SUM(B59:B61)</f>
        <v>769.09999999999991</v>
      </c>
      <c r="C62" s="104"/>
      <c r="D62" s="39"/>
      <c r="E62" s="39"/>
      <c r="F62" s="39"/>
      <c r="G62" s="39"/>
      <c r="H62" s="39"/>
      <c r="I62" s="39"/>
      <c r="J62" s="39"/>
      <c r="K62" s="39"/>
      <c r="L62" s="39"/>
      <c r="M62" s="39"/>
      <c r="N62" s="39"/>
      <c r="O62" s="39"/>
      <c r="P62" s="39"/>
      <c r="Q62" s="39"/>
      <c r="R62" s="39"/>
      <c r="S62" s="39"/>
      <c r="T62" s="39"/>
      <c r="U62" s="39"/>
      <c r="V62" s="39"/>
      <c r="W62" s="39"/>
      <c r="X62" s="39"/>
      <c r="Y62" s="39"/>
      <c r="Z62" s="39"/>
      <c r="AA62" s="39"/>
      <c r="AB62" s="39"/>
    </row>
    <row r="63" spans="1:31">
      <c r="A63" s="39"/>
      <c r="B63" s="46"/>
      <c r="C63" s="46"/>
      <c r="D63" s="39"/>
      <c r="E63" s="39"/>
      <c r="F63" s="39"/>
      <c r="G63" s="39"/>
      <c r="H63" s="39"/>
      <c r="I63" s="39"/>
      <c r="J63" s="39"/>
      <c r="K63" s="39"/>
      <c r="L63" s="39"/>
      <c r="M63" s="39"/>
      <c r="N63" s="39"/>
      <c r="O63" s="39"/>
      <c r="P63" s="39"/>
      <c r="Q63" s="39"/>
      <c r="R63" s="39"/>
      <c r="S63" s="39"/>
      <c r="T63" s="39"/>
      <c r="U63" s="39"/>
      <c r="V63" s="39"/>
      <c r="W63" s="39"/>
      <c r="X63" s="39"/>
      <c r="Y63" s="39"/>
      <c r="Z63" s="39"/>
      <c r="AA63" s="39"/>
      <c r="AB63" s="39"/>
    </row>
    <row r="64" spans="1:31">
      <c r="A64" s="39" t="s">
        <v>478</v>
      </c>
      <c r="B64" s="104">
        <f>'CAN Disability details 09-10'!B22*0.192</f>
        <v>389.79840000000002</v>
      </c>
      <c r="C64" s="104" t="s">
        <v>237</v>
      </c>
      <c r="D64" s="39"/>
      <c r="E64" s="39" t="s">
        <v>457</v>
      </c>
      <c r="F64" s="39"/>
      <c r="G64" s="39"/>
      <c r="H64" s="39"/>
      <c r="I64" s="39"/>
      <c r="J64" s="39"/>
      <c r="K64" s="39"/>
      <c r="L64" s="39"/>
      <c r="M64" s="39"/>
      <c r="N64" s="39"/>
      <c r="O64" s="39"/>
    </row>
    <row r="65" spans="1:22">
      <c r="A65" s="258"/>
      <c r="B65" s="104"/>
      <c r="C65" s="104"/>
      <c r="D65" s="39"/>
      <c r="E65" s="39" t="s">
        <v>462</v>
      </c>
      <c r="F65" s="39"/>
      <c r="G65" s="39"/>
      <c r="H65" s="39"/>
      <c r="I65" s="39"/>
      <c r="J65" s="39"/>
      <c r="K65" s="39"/>
      <c r="L65" s="39"/>
      <c r="M65" s="39"/>
      <c r="N65" s="39"/>
      <c r="O65" s="39"/>
    </row>
    <row r="66" spans="1:22">
      <c r="A66" s="50" t="s">
        <v>334</v>
      </c>
      <c r="B66" s="46"/>
      <c r="C66" s="46"/>
      <c r="D66" s="39"/>
      <c r="E66" s="39"/>
      <c r="F66" s="39"/>
      <c r="G66" s="39"/>
      <c r="H66" s="39"/>
      <c r="I66" s="39"/>
      <c r="J66" s="39"/>
      <c r="K66" s="39"/>
      <c r="L66" s="39"/>
      <c r="M66" s="39"/>
      <c r="N66" s="39"/>
      <c r="O66" s="39"/>
    </row>
    <row r="67" spans="1:22">
      <c r="A67" s="39" t="s">
        <v>335</v>
      </c>
      <c r="B67" s="46">
        <f>'SA $ by prov 09-10'!B34</f>
        <v>732.3</v>
      </c>
      <c r="C67" s="46"/>
      <c r="D67" s="39"/>
      <c r="E67" s="39" t="s">
        <v>360</v>
      </c>
      <c r="F67" s="39"/>
      <c r="G67" s="39"/>
      <c r="H67" s="39"/>
      <c r="I67" s="39"/>
      <c r="J67" s="39"/>
      <c r="K67" s="39"/>
      <c r="L67" s="39"/>
      <c r="M67" s="39"/>
      <c r="N67" s="39"/>
      <c r="O67" s="39"/>
    </row>
    <row r="68" spans="1:22">
      <c r="A68" s="39" t="s">
        <v>12</v>
      </c>
      <c r="B68" s="46">
        <f>98.8*0.55</f>
        <v>54.34</v>
      </c>
      <c r="C68" s="46" t="s">
        <v>237</v>
      </c>
      <c r="D68" s="39"/>
      <c r="E68" s="106" t="s">
        <v>656</v>
      </c>
      <c r="F68" s="39"/>
      <c r="G68" s="39"/>
      <c r="H68" s="39"/>
      <c r="I68" s="39"/>
      <c r="J68" s="39"/>
      <c r="K68" s="39"/>
      <c r="L68" s="39"/>
      <c r="M68" s="39"/>
      <c r="N68" s="39"/>
      <c r="O68" s="39"/>
    </row>
    <row r="69" spans="1:22">
      <c r="A69" s="115" t="s">
        <v>24</v>
      </c>
      <c r="B69" s="104">
        <f>SUM(B67:B68)</f>
        <v>786.64</v>
      </c>
      <c r="C69" s="104" t="s">
        <v>237</v>
      </c>
    </row>
    <row r="70" spans="1:22">
      <c r="A70" s="3"/>
      <c r="B70" s="104"/>
      <c r="C70" s="104"/>
    </row>
    <row r="71" spans="1:22">
      <c r="A71" s="2" t="s">
        <v>13</v>
      </c>
      <c r="B71" s="46"/>
      <c r="C71" s="46"/>
    </row>
    <row r="72" spans="1:22">
      <c r="A72" t="s">
        <v>7</v>
      </c>
      <c r="B72" s="46">
        <v>677.4</v>
      </c>
      <c r="C72" s="46"/>
      <c r="E72" t="s">
        <v>215</v>
      </c>
      <c r="V72" t="s">
        <v>205</v>
      </c>
    </row>
    <row r="73" spans="1:22">
      <c r="A73" t="s">
        <v>8</v>
      </c>
      <c r="B73" s="46"/>
      <c r="C73" s="46"/>
      <c r="E73" t="s">
        <v>167</v>
      </c>
    </row>
    <row r="74" spans="1:22">
      <c r="A74" s="3" t="s">
        <v>57</v>
      </c>
      <c r="B74" s="104">
        <f>SUM(B72:B73)</f>
        <v>677.4</v>
      </c>
      <c r="C74" s="104"/>
    </row>
    <row r="75" spans="1:22">
      <c r="A75" s="3"/>
      <c r="B75" s="104"/>
      <c r="C75" s="104"/>
    </row>
    <row r="76" spans="1:22">
      <c r="A76" t="s">
        <v>64</v>
      </c>
      <c r="B76" s="46"/>
      <c r="C76" s="46"/>
    </row>
    <row r="77" spans="1:22">
      <c r="A77" t="s">
        <v>9</v>
      </c>
      <c r="B77" s="46">
        <v>127</v>
      </c>
      <c r="C77" s="46"/>
      <c r="E77" t="s">
        <v>207</v>
      </c>
    </row>
    <row r="78" spans="1:22">
      <c r="A78" t="s">
        <v>10</v>
      </c>
      <c r="B78" s="46">
        <v>652</v>
      </c>
      <c r="C78" s="46"/>
      <c r="E78" t="s">
        <v>207</v>
      </c>
    </row>
    <row r="79" spans="1:22">
      <c r="A79" s="3" t="s">
        <v>24</v>
      </c>
      <c r="B79" s="104">
        <f>SUM(B77:B78)</f>
        <v>779</v>
      </c>
      <c r="C79" s="104"/>
      <c r="E79" t="s">
        <v>378</v>
      </c>
    </row>
    <row r="80" spans="1:22">
      <c r="A80" s="39"/>
      <c r="B80" s="46"/>
      <c r="C80" s="46"/>
      <c r="D80" s="39"/>
      <c r="E80" s="39"/>
    </row>
    <row r="81" spans="1:20" ht="15.75">
      <c r="A81" s="48" t="s">
        <v>23</v>
      </c>
      <c r="B81" s="49">
        <f>SUM(B56+B62+B64+B68+B67+B74+B79)</f>
        <v>3672.3404</v>
      </c>
      <c r="C81" s="49" t="s">
        <v>237</v>
      </c>
      <c r="D81" s="39"/>
      <c r="E81" s="39"/>
    </row>
    <row r="82" spans="1:20">
      <c r="A82" s="39"/>
      <c r="B82" s="39"/>
      <c r="C82" s="39"/>
      <c r="D82" s="39"/>
      <c r="E82" s="39"/>
    </row>
    <row r="83" spans="1:20">
      <c r="A83" s="106" t="s">
        <v>673</v>
      </c>
      <c r="B83" s="39"/>
      <c r="C83" s="39"/>
      <c r="D83" s="39"/>
      <c r="E83" s="39"/>
    </row>
    <row r="84" spans="1:20">
      <c r="A84" s="39"/>
      <c r="B84" s="39"/>
      <c r="C84" s="39"/>
      <c r="D84" s="39"/>
      <c r="E84" s="39"/>
    </row>
    <row r="85" spans="1:20" ht="15.75">
      <c r="A85" s="39"/>
      <c r="B85" s="40" t="s">
        <v>36</v>
      </c>
      <c r="C85" s="41"/>
      <c r="D85" s="39"/>
      <c r="E85" s="39"/>
    </row>
    <row r="86" spans="1:20" ht="15.75">
      <c r="A86" s="39"/>
      <c r="B86" s="40" t="s">
        <v>514</v>
      </c>
      <c r="C86" s="41"/>
      <c r="D86" s="39"/>
      <c r="E86" s="39"/>
    </row>
    <row r="87" spans="1:20" ht="15.75">
      <c r="A87" s="39"/>
      <c r="B87" s="40" t="s">
        <v>16</v>
      </c>
      <c r="C87" s="41"/>
      <c r="D87" s="39"/>
      <c r="E87" s="39"/>
    </row>
    <row r="88" spans="1:20">
      <c r="A88" s="50" t="s">
        <v>11</v>
      </c>
      <c r="B88" s="106"/>
      <c r="C88" s="106"/>
      <c r="D88" s="39"/>
      <c r="E88" s="39"/>
    </row>
    <row r="89" spans="1:20">
      <c r="A89" s="39"/>
      <c r="B89" s="106"/>
      <c r="C89" s="106"/>
      <c r="D89" s="39"/>
      <c r="E89" s="39"/>
    </row>
    <row r="90" spans="1:20">
      <c r="A90" s="39" t="s">
        <v>0</v>
      </c>
      <c r="B90" s="143">
        <f>'CAN Disability details 10-11'!B6*0.133</f>
        <v>86.45</v>
      </c>
      <c r="C90" s="46"/>
      <c r="D90" s="39"/>
      <c r="E90" s="39" t="s">
        <v>811</v>
      </c>
      <c r="T90" s="38" t="s">
        <v>810</v>
      </c>
    </row>
    <row r="91" spans="1:20">
      <c r="A91" s="39" t="s">
        <v>1</v>
      </c>
      <c r="B91" s="143">
        <f>'CAN Disability details 10-11'!B7*0.133</f>
        <v>143.64000000000001</v>
      </c>
      <c r="C91" s="46"/>
      <c r="D91" s="39"/>
      <c r="E91" s="39" t="s">
        <v>218</v>
      </c>
    </row>
    <row r="92" spans="1:20">
      <c r="A92" s="39" t="s">
        <v>14</v>
      </c>
      <c r="B92" s="46">
        <f>'CAN Disability details 10-11'!B8*0.133</f>
        <v>13.3</v>
      </c>
      <c r="C92" s="46"/>
      <c r="D92" s="39"/>
      <c r="E92" s="39" t="s">
        <v>571</v>
      </c>
    </row>
    <row r="93" spans="1:20">
      <c r="A93" s="39" t="s">
        <v>2</v>
      </c>
      <c r="B93" s="46">
        <f>'CAN Disability details 10-11'!B9*0.133</f>
        <v>0.66500000000000004</v>
      </c>
      <c r="C93" s="46"/>
      <c r="D93" s="39"/>
      <c r="E93" s="39"/>
    </row>
    <row r="94" spans="1:20">
      <c r="A94" s="39" t="s">
        <v>68</v>
      </c>
      <c r="B94" s="46">
        <f>'CAN Disability details 10-11'!B10*0.133</f>
        <v>0</v>
      </c>
      <c r="C94" s="46"/>
      <c r="D94" s="39"/>
      <c r="E94" s="273"/>
    </row>
    <row r="95" spans="1:20">
      <c r="A95" s="39" t="s">
        <v>3</v>
      </c>
      <c r="B95" s="46">
        <f>'CAN Disability details 10-11'!B11*0.133</f>
        <v>17.955000000000002</v>
      </c>
      <c r="C95" s="46"/>
      <c r="D95" s="39"/>
      <c r="E95" s="273"/>
    </row>
    <row r="96" spans="1:20">
      <c r="A96" s="39" t="s">
        <v>15</v>
      </c>
      <c r="B96" s="46">
        <f>'CAN Disability details 10-11'!B12*0.133</f>
        <v>29.313200000000002</v>
      </c>
      <c r="C96" s="46"/>
      <c r="D96" s="39"/>
      <c r="E96" s="273" t="s">
        <v>581</v>
      </c>
      <c r="T96" s="38" t="s">
        <v>579</v>
      </c>
    </row>
    <row r="97" spans="1:20">
      <c r="A97" s="258" t="s">
        <v>24</v>
      </c>
      <c r="B97" s="138">
        <f>SUM(B90:B96)</f>
        <v>291.32320000000004</v>
      </c>
      <c r="C97" s="104"/>
      <c r="D97" s="39"/>
      <c r="E97" s="273"/>
    </row>
    <row r="98" spans="1:20">
      <c r="A98" s="39"/>
      <c r="B98" s="46"/>
      <c r="C98" s="46"/>
      <c r="D98" s="39"/>
      <c r="E98" s="39"/>
    </row>
    <row r="99" spans="1:20">
      <c r="A99" s="50" t="s">
        <v>4</v>
      </c>
      <c r="B99" s="46"/>
      <c r="C99" s="46"/>
      <c r="D99" s="39"/>
      <c r="E99" s="39"/>
    </row>
    <row r="100" spans="1:20">
      <c r="A100" s="39" t="s">
        <v>5</v>
      </c>
      <c r="B100" s="46">
        <v>638</v>
      </c>
      <c r="C100" s="46"/>
      <c r="D100" s="39"/>
      <c r="E100" s="39" t="s">
        <v>553</v>
      </c>
      <c r="T100" t="s">
        <v>614</v>
      </c>
    </row>
    <row r="101" spans="1:20">
      <c r="A101" s="39" t="s">
        <v>69</v>
      </c>
      <c r="B101" s="105"/>
      <c r="C101" s="105"/>
      <c r="D101" s="39"/>
      <c r="E101" s="39"/>
    </row>
    <row r="102" spans="1:20">
      <c r="A102" s="39" t="s">
        <v>6</v>
      </c>
      <c r="B102" s="46">
        <v>165.3</v>
      </c>
      <c r="C102" s="46"/>
      <c r="D102" s="39"/>
      <c r="E102" s="39" t="s">
        <v>520</v>
      </c>
      <c r="F102" s="103"/>
      <c r="G102" s="103"/>
      <c r="H102" s="103"/>
      <c r="I102" s="103"/>
      <c r="J102" s="103"/>
      <c r="K102" s="103"/>
      <c r="L102" s="103"/>
      <c r="M102" s="103"/>
      <c r="N102" s="103"/>
      <c r="O102" s="103"/>
      <c r="P102" s="103"/>
      <c r="Q102" s="103"/>
      <c r="R102" s="103"/>
      <c r="S102" s="111"/>
      <c r="T102" s="110" t="s">
        <v>519</v>
      </c>
    </row>
    <row r="103" spans="1:20">
      <c r="A103" s="258" t="s">
        <v>24</v>
      </c>
      <c r="B103" s="104">
        <f>SUM(B100:B102)</f>
        <v>803.3</v>
      </c>
      <c r="C103" s="104"/>
      <c r="D103" s="39"/>
      <c r="E103" s="39"/>
    </row>
    <row r="104" spans="1:20">
      <c r="A104" s="39"/>
      <c r="B104" s="46"/>
      <c r="C104" s="46"/>
      <c r="D104" s="39"/>
      <c r="E104" s="39"/>
    </row>
    <row r="105" spans="1:20">
      <c r="A105" s="39" t="s">
        <v>478</v>
      </c>
      <c r="B105" s="104">
        <f>314.4+57</f>
        <v>371.4</v>
      </c>
      <c r="C105" s="104" t="s">
        <v>237</v>
      </c>
      <c r="D105" s="39"/>
      <c r="E105" s="52" t="s">
        <v>98</v>
      </c>
      <c r="T105" s="52" t="s">
        <v>713</v>
      </c>
    </row>
    <row r="106" spans="1:20">
      <c r="A106" s="258"/>
      <c r="B106" s="104"/>
      <c r="C106" s="104"/>
      <c r="D106" s="39"/>
      <c r="E106" s="39"/>
    </row>
    <row r="107" spans="1:20">
      <c r="A107" s="50" t="s">
        <v>334</v>
      </c>
      <c r="B107" s="46"/>
      <c r="C107" s="46"/>
      <c r="D107" s="39"/>
      <c r="E107" s="39"/>
    </row>
    <row r="108" spans="1:20">
      <c r="A108" s="39" t="s">
        <v>335</v>
      </c>
      <c r="B108" s="46">
        <f>'SA $ by prov 10-11'!B87</f>
        <v>777.1</v>
      </c>
      <c r="C108" s="46"/>
      <c r="D108" s="39"/>
      <c r="E108" s="39" t="s">
        <v>554</v>
      </c>
    </row>
    <row r="109" spans="1:20">
      <c r="A109" s="39" t="s">
        <v>12</v>
      </c>
      <c r="B109" s="143">
        <f>100.6*0.55</f>
        <v>55.33</v>
      </c>
      <c r="C109" s="143" t="s">
        <v>237</v>
      </c>
      <c r="D109" s="39"/>
      <c r="E109" s="278" t="s">
        <v>801</v>
      </c>
      <c r="T109" s="52" t="s">
        <v>789</v>
      </c>
    </row>
    <row r="110" spans="1:20">
      <c r="A110" s="258" t="s">
        <v>24</v>
      </c>
      <c r="B110" s="138">
        <f>SUM(B108:B109)</f>
        <v>832.43000000000006</v>
      </c>
      <c r="C110" s="138" t="s">
        <v>237</v>
      </c>
      <c r="D110" s="39"/>
      <c r="E110" s="39"/>
    </row>
    <row r="111" spans="1:20">
      <c r="A111" s="258"/>
      <c r="B111" s="104"/>
      <c r="C111" s="104"/>
      <c r="D111" s="39"/>
      <c r="E111" s="39"/>
    </row>
    <row r="112" spans="1:20">
      <c r="A112" s="50" t="s">
        <v>13</v>
      </c>
      <c r="B112" s="46"/>
      <c r="C112" s="46"/>
      <c r="D112" s="39"/>
      <c r="E112" s="39"/>
    </row>
    <row r="113" spans="1:26">
      <c r="A113" t="s">
        <v>7</v>
      </c>
      <c r="B113" s="46">
        <v>692.7</v>
      </c>
      <c r="C113" s="46"/>
      <c r="E113" t="s">
        <v>547</v>
      </c>
    </row>
    <row r="114" spans="1:26">
      <c r="A114" t="s">
        <v>8</v>
      </c>
      <c r="B114" s="46"/>
      <c r="C114" s="46"/>
      <c r="E114" t="s">
        <v>167</v>
      </c>
      <c r="T114" t="s">
        <v>205</v>
      </c>
    </row>
    <row r="115" spans="1:26">
      <c r="A115" s="3" t="s">
        <v>57</v>
      </c>
      <c r="B115" s="104">
        <f>SUM(B113:B114)</f>
        <v>692.7</v>
      </c>
      <c r="C115" s="104"/>
    </row>
    <row r="116" spans="1:26">
      <c r="A116" s="3"/>
      <c r="B116" s="104"/>
      <c r="C116" s="104"/>
    </row>
    <row r="117" spans="1:26">
      <c r="A117" t="s">
        <v>64</v>
      </c>
      <c r="B117" s="46"/>
      <c r="C117" s="46"/>
    </row>
    <row r="118" spans="1:26">
      <c r="A118" t="s">
        <v>9</v>
      </c>
      <c r="B118" s="46">
        <v>125</v>
      </c>
      <c r="C118" s="46"/>
      <c r="E118" t="s">
        <v>548</v>
      </c>
      <c r="T118" t="s">
        <v>75</v>
      </c>
    </row>
    <row r="119" spans="1:26">
      <c r="A119" t="s">
        <v>10</v>
      </c>
      <c r="B119" s="46">
        <v>690</v>
      </c>
      <c r="C119" s="46"/>
      <c r="E119" t="s">
        <v>548</v>
      </c>
    </row>
    <row r="120" spans="1:26">
      <c r="A120" s="3" t="s">
        <v>24</v>
      </c>
      <c r="B120" s="104">
        <f>SUM(B118:B119)</f>
        <v>815</v>
      </c>
      <c r="C120" s="104"/>
      <c r="E120" t="s">
        <v>378</v>
      </c>
    </row>
    <row r="121" spans="1:26">
      <c r="B121" s="46"/>
      <c r="C121" s="46"/>
    </row>
    <row r="122" spans="1:26" ht="15.75">
      <c r="A122" s="48" t="s">
        <v>23</v>
      </c>
      <c r="B122" s="139">
        <f>SUM(B97+B103+B105+B109+B108+B115+B120)</f>
        <v>3806.1531999999997</v>
      </c>
      <c r="C122" s="139" t="s">
        <v>237</v>
      </c>
      <c r="D122" s="39"/>
      <c r="E122" s="39"/>
    </row>
    <row r="123" spans="1:26" ht="15.75">
      <c r="A123" s="48"/>
      <c r="B123" s="49"/>
      <c r="C123" s="49"/>
      <c r="D123" s="39"/>
      <c r="E123" s="39"/>
    </row>
    <row r="124" spans="1:26" ht="15.75">
      <c r="A124" s="106" t="s">
        <v>673</v>
      </c>
      <c r="B124" s="49"/>
      <c r="C124" s="49"/>
      <c r="D124" s="39"/>
      <c r="E124" s="39"/>
    </row>
    <row r="125" spans="1:26">
      <c r="V125" s="50"/>
      <c r="W125" s="50"/>
      <c r="X125" s="50"/>
      <c r="Y125" s="50"/>
      <c r="Z125" s="50"/>
    </row>
    <row r="126" spans="1:26" ht="15.75">
      <c r="B126" s="40" t="s">
        <v>36</v>
      </c>
      <c r="C126" s="41"/>
      <c r="V126" s="50"/>
      <c r="W126" s="50"/>
      <c r="X126" s="50"/>
      <c r="Y126" s="50"/>
      <c r="Z126" s="50"/>
    </row>
    <row r="127" spans="1:26" ht="15.75">
      <c r="B127" s="40" t="s">
        <v>689</v>
      </c>
      <c r="C127" s="41"/>
      <c r="V127" s="50"/>
      <c r="W127" s="50"/>
      <c r="X127" s="50"/>
      <c r="Y127" s="50"/>
      <c r="Z127" s="50"/>
    </row>
    <row r="128" spans="1:26" ht="15.75">
      <c r="B128" s="40" t="s">
        <v>16</v>
      </c>
      <c r="C128" s="41"/>
      <c r="V128" s="50"/>
      <c r="W128" s="50"/>
      <c r="X128" s="50"/>
      <c r="Y128" s="50"/>
      <c r="Z128" s="50"/>
    </row>
    <row r="129" spans="1:26">
      <c r="A129" s="2" t="s">
        <v>11</v>
      </c>
      <c r="B129" s="106"/>
      <c r="C129" s="106"/>
      <c r="V129" s="50"/>
      <c r="W129" s="50"/>
      <c r="X129" s="50"/>
      <c r="Y129" s="50"/>
      <c r="Z129" s="50"/>
    </row>
    <row r="130" spans="1:26">
      <c r="B130" s="106"/>
      <c r="C130" s="106"/>
      <c r="V130" s="50"/>
      <c r="W130" s="50"/>
      <c r="X130" s="50"/>
      <c r="Y130" s="50"/>
      <c r="Z130" s="50"/>
    </row>
    <row r="131" spans="1:26">
      <c r="A131" t="s">
        <v>0</v>
      </c>
      <c r="B131" s="143">
        <f>'CAN Disability details 11-12'!B6*0.131</f>
        <v>88.424999999999997</v>
      </c>
      <c r="C131" s="46"/>
      <c r="E131" t="s">
        <v>811</v>
      </c>
      <c r="R131" s="145"/>
      <c r="S131" s="145"/>
      <c r="T131" s="145" t="s">
        <v>810</v>
      </c>
      <c r="V131" s="50"/>
      <c r="W131" s="50"/>
      <c r="X131" s="50"/>
      <c r="Y131" s="50"/>
      <c r="Z131" s="50"/>
    </row>
    <row r="132" spans="1:26">
      <c r="A132" t="s">
        <v>1</v>
      </c>
      <c r="B132" s="143">
        <f>'CAN Disability details 11-12'!B7*0.131</f>
        <v>148.685</v>
      </c>
      <c r="C132" s="46"/>
      <c r="E132" t="s">
        <v>218</v>
      </c>
      <c r="I132" t="s">
        <v>93</v>
      </c>
      <c r="R132" s="39"/>
      <c r="S132" s="39"/>
      <c r="T132" s="39" t="s">
        <v>752</v>
      </c>
      <c r="V132" s="50"/>
      <c r="W132" s="50"/>
      <c r="X132" s="50"/>
      <c r="Y132" s="50"/>
      <c r="Z132" s="50"/>
    </row>
    <row r="133" spans="1:26">
      <c r="A133" t="s">
        <v>14</v>
      </c>
      <c r="B133" s="46">
        <f>'CAN Disability details 11-12'!B8*0.131</f>
        <v>13.755000000000001</v>
      </c>
      <c r="C133" s="46"/>
      <c r="E133" s="52" t="s">
        <v>771</v>
      </c>
      <c r="R133" s="39"/>
      <c r="S133" s="39"/>
      <c r="T133" s="39"/>
      <c r="V133" s="50"/>
      <c r="W133" s="50"/>
      <c r="X133" s="50"/>
      <c r="Y133" s="50"/>
      <c r="Z133" s="50"/>
    </row>
    <row r="134" spans="1:26">
      <c r="A134" t="s">
        <v>2</v>
      </c>
      <c r="B134" s="46">
        <f>'CAN Disability details 11-12'!B9*0.131</f>
        <v>0.65500000000000003</v>
      </c>
      <c r="C134" s="46"/>
      <c r="R134" s="39"/>
      <c r="S134" s="39"/>
      <c r="T134" s="39"/>
      <c r="V134" s="50"/>
      <c r="W134" s="50"/>
      <c r="X134" s="50"/>
      <c r="Y134" s="50"/>
      <c r="Z134" s="50"/>
    </row>
    <row r="135" spans="1:26">
      <c r="A135" t="s">
        <v>68</v>
      </c>
      <c r="B135" s="46">
        <f>'CAN Disability details 11-12'!B10*0.131</f>
        <v>0</v>
      </c>
      <c r="C135" s="46"/>
      <c r="R135" s="39"/>
      <c r="S135" s="39"/>
      <c r="T135" s="39"/>
      <c r="V135" s="50"/>
      <c r="W135" s="50"/>
      <c r="X135" s="50"/>
      <c r="Y135" s="50"/>
      <c r="Z135" s="50"/>
    </row>
    <row r="136" spans="1:26">
      <c r="A136" t="s">
        <v>3</v>
      </c>
      <c r="B136" s="143">
        <f>'CAN Disability details 11-12'!B11*0.131</f>
        <v>17.685000000000002</v>
      </c>
      <c r="C136" s="46"/>
      <c r="R136" s="39"/>
      <c r="S136" s="39"/>
      <c r="T136" s="39"/>
      <c r="V136" s="50"/>
      <c r="W136" s="50"/>
      <c r="X136" s="50"/>
      <c r="Y136" s="50"/>
      <c r="Z136" s="50"/>
    </row>
    <row r="137" spans="1:26">
      <c r="A137" t="s">
        <v>15</v>
      </c>
      <c r="B137" s="143">
        <f>'CAN Disability details 11-12'!B12*0.131</f>
        <v>33.20326</v>
      </c>
      <c r="C137" s="46"/>
      <c r="E137" s="248" t="s">
        <v>812</v>
      </c>
      <c r="F137" s="249"/>
      <c r="G137" s="249"/>
      <c r="H137" s="249"/>
      <c r="I137" s="30"/>
      <c r="J137" s="30"/>
      <c r="K137" s="30"/>
      <c r="L137" s="30"/>
      <c r="M137" s="30"/>
      <c r="N137" s="30"/>
      <c r="O137" s="30"/>
      <c r="P137" s="30"/>
      <c r="Q137" s="171"/>
      <c r="R137" s="145"/>
      <c r="S137" s="145"/>
      <c r="T137" s="145"/>
      <c r="V137" s="50"/>
      <c r="W137" s="50"/>
      <c r="X137" s="50"/>
      <c r="Y137" s="50"/>
      <c r="Z137" s="50"/>
    </row>
    <row r="138" spans="1:26">
      <c r="A138" s="3" t="s">
        <v>24</v>
      </c>
      <c r="B138" s="138">
        <f>SUM(B131:B137)</f>
        <v>302.40826000000004</v>
      </c>
      <c r="C138" s="104"/>
      <c r="E138" s="6"/>
      <c r="Q138" s="111"/>
      <c r="R138" s="39"/>
      <c r="S138" s="39"/>
      <c r="T138" s="39"/>
      <c r="V138" s="50"/>
      <c r="W138" s="50"/>
      <c r="X138" s="50"/>
      <c r="Y138" s="50"/>
      <c r="Z138" s="50"/>
    </row>
    <row r="139" spans="1:26">
      <c r="B139" s="46"/>
      <c r="C139" s="46"/>
      <c r="Q139" s="29"/>
      <c r="R139" s="39"/>
      <c r="S139" s="39"/>
      <c r="T139" s="39"/>
      <c r="V139" s="50"/>
      <c r="W139" s="50"/>
      <c r="X139" s="50"/>
      <c r="Y139" s="50"/>
      <c r="Z139" s="50"/>
    </row>
    <row r="140" spans="1:26">
      <c r="A140" s="2" t="s">
        <v>4</v>
      </c>
      <c r="B140" s="46"/>
      <c r="C140" s="46"/>
      <c r="Q140" s="29"/>
      <c r="R140" s="39"/>
      <c r="S140" s="39"/>
      <c r="T140" s="39"/>
      <c r="V140" s="50"/>
      <c r="W140" s="50"/>
      <c r="X140" s="50"/>
      <c r="Y140" s="50"/>
      <c r="Z140" s="50"/>
    </row>
    <row r="141" spans="1:26">
      <c r="A141" t="s">
        <v>5</v>
      </c>
      <c r="B141" s="46">
        <v>687</v>
      </c>
      <c r="C141" s="46"/>
      <c r="E141" s="52" t="s">
        <v>747</v>
      </c>
      <c r="F141" s="30"/>
      <c r="G141" s="30"/>
      <c r="H141" s="30"/>
      <c r="I141" s="30"/>
      <c r="J141" s="30"/>
      <c r="K141" s="30"/>
      <c r="L141" s="30"/>
      <c r="M141" s="30"/>
      <c r="N141" s="30"/>
      <c r="O141" s="30"/>
      <c r="P141" s="30"/>
      <c r="Q141" s="172"/>
      <c r="R141" s="39"/>
      <c r="S141" s="39"/>
      <c r="T141" s="39" t="s">
        <v>693</v>
      </c>
      <c r="V141" s="50"/>
      <c r="W141" s="50"/>
      <c r="X141" s="50"/>
      <c r="Y141" s="50"/>
      <c r="Z141" s="50"/>
    </row>
    <row r="142" spans="1:26">
      <c r="A142" t="s">
        <v>69</v>
      </c>
      <c r="B142" s="105"/>
      <c r="C142" s="105"/>
      <c r="E142" s="321" t="s">
        <v>748</v>
      </c>
      <c r="F142" s="321"/>
      <c r="G142" s="321"/>
      <c r="H142" s="321"/>
      <c r="I142" s="321"/>
      <c r="J142" s="321"/>
      <c r="K142" s="321"/>
      <c r="L142" s="321"/>
      <c r="M142" s="321"/>
      <c r="N142" s="321"/>
      <c r="O142" s="321"/>
      <c r="P142" s="321"/>
      <c r="Q142" s="172"/>
      <c r="R142" s="39"/>
      <c r="S142" s="39"/>
      <c r="T142" s="39" t="s">
        <v>693</v>
      </c>
      <c r="V142" s="50"/>
      <c r="W142" s="50"/>
      <c r="X142" s="50"/>
      <c r="Y142" s="50"/>
      <c r="Z142" s="50"/>
    </row>
    <row r="143" spans="1:26">
      <c r="A143" t="s">
        <v>6</v>
      </c>
      <c r="B143" s="114">
        <v>164.7</v>
      </c>
      <c r="C143" s="114"/>
      <c r="E143" s="120" t="s">
        <v>694</v>
      </c>
      <c r="F143" s="103"/>
      <c r="G143" s="103"/>
      <c r="H143" s="103"/>
      <c r="I143" s="103"/>
      <c r="J143" s="103"/>
      <c r="K143" s="103"/>
      <c r="L143" s="103"/>
      <c r="M143" s="103"/>
      <c r="N143" s="103"/>
      <c r="O143" s="103"/>
      <c r="P143" s="103"/>
      <c r="Q143" s="111"/>
      <c r="R143" s="145"/>
      <c r="S143" s="145"/>
      <c r="T143" s="145" t="s">
        <v>519</v>
      </c>
      <c r="U143" s="111"/>
      <c r="V143" s="50"/>
      <c r="W143" s="50"/>
      <c r="X143" s="50"/>
      <c r="Y143" s="50"/>
      <c r="Z143" s="50"/>
    </row>
    <row r="144" spans="1:26">
      <c r="A144" s="3" t="s">
        <v>24</v>
      </c>
      <c r="B144" s="112">
        <f>SUM(B141:B143)</f>
        <v>851.7</v>
      </c>
      <c r="C144" s="112"/>
      <c r="V144" s="50"/>
      <c r="W144" s="50"/>
      <c r="X144" s="50"/>
      <c r="Y144" s="50"/>
      <c r="Z144" s="50"/>
    </row>
    <row r="145" spans="1:26">
      <c r="B145" s="46"/>
      <c r="C145" s="46"/>
      <c r="V145" s="50"/>
      <c r="W145" s="50"/>
      <c r="X145" s="50"/>
      <c r="Y145" s="50"/>
      <c r="Z145" s="50"/>
    </row>
    <row r="146" spans="1:26">
      <c r="A146" t="s">
        <v>478</v>
      </c>
      <c r="B146" s="104">
        <f>305.9+50.3</f>
        <v>356.2</v>
      </c>
      <c r="C146" s="104"/>
      <c r="E146" s="52" t="s">
        <v>98</v>
      </c>
      <c r="T146" s="52" t="s">
        <v>713</v>
      </c>
      <c r="V146" s="50"/>
      <c r="W146" s="50"/>
      <c r="X146" s="50"/>
      <c r="Y146" s="50"/>
      <c r="Z146" s="50"/>
    </row>
    <row r="147" spans="1:26">
      <c r="A147" s="3"/>
      <c r="B147" s="104"/>
      <c r="C147" s="104"/>
      <c r="V147" s="50"/>
      <c r="W147" s="50"/>
      <c r="X147" s="50"/>
      <c r="Y147" s="50"/>
      <c r="Z147" s="50"/>
    </row>
    <row r="148" spans="1:26">
      <c r="A148" s="2" t="s">
        <v>334</v>
      </c>
      <c r="B148" s="46"/>
      <c r="C148" s="46"/>
      <c r="V148" s="50"/>
      <c r="W148" s="50"/>
      <c r="X148" s="50"/>
      <c r="Y148" s="50"/>
      <c r="Z148" s="50"/>
    </row>
    <row r="149" spans="1:26">
      <c r="A149" s="103" t="s">
        <v>335</v>
      </c>
      <c r="B149" s="46">
        <f>'SA $ by prov 11-12'!B33</f>
        <v>823.6</v>
      </c>
      <c r="C149" s="46"/>
      <c r="E149" t="s">
        <v>554</v>
      </c>
      <c r="V149" s="50"/>
      <c r="W149" s="50"/>
      <c r="X149" s="50"/>
      <c r="Y149" s="50"/>
      <c r="Z149" s="50"/>
    </row>
    <row r="150" spans="1:26">
      <c r="A150" s="103" t="s">
        <v>12</v>
      </c>
      <c r="B150" s="114">
        <f>100.2*0.55</f>
        <v>55.110000000000007</v>
      </c>
      <c r="C150" s="114" t="s">
        <v>237</v>
      </c>
      <c r="D150" s="120" t="s">
        <v>777</v>
      </c>
      <c r="E150" s="278" t="s">
        <v>801</v>
      </c>
      <c r="T150" s="52" t="s">
        <v>789</v>
      </c>
      <c r="V150" s="50"/>
      <c r="W150" s="50"/>
      <c r="X150" s="50"/>
      <c r="Y150" s="50"/>
      <c r="Z150" s="50"/>
    </row>
    <row r="151" spans="1:26">
      <c r="A151" s="115" t="s">
        <v>24</v>
      </c>
      <c r="B151" s="112">
        <f>SUM(B149:B150)</f>
        <v>878.71</v>
      </c>
      <c r="C151" s="112" t="s">
        <v>237</v>
      </c>
      <c r="D151" s="103"/>
      <c r="V151" s="50"/>
      <c r="W151" s="50"/>
      <c r="X151" s="50"/>
      <c r="Y151" s="50"/>
      <c r="Z151" s="50"/>
    </row>
    <row r="152" spans="1:26">
      <c r="A152" s="3"/>
      <c r="B152" s="104"/>
      <c r="C152" s="104"/>
      <c r="V152" s="50"/>
      <c r="W152" s="50"/>
      <c r="X152" s="50"/>
      <c r="Y152" s="50"/>
      <c r="Z152" s="50"/>
    </row>
    <row r="153" spans="1:26">
      <c r="A153" s="2" t="s">
        <v>13</v>
      </c>
      <c r="B153" s="46"/>
      <c r="C153" s="46"/>
      <c r="V153" s="50"/>
      <c r="W153" s="50"/>
      <c r="X153" s="50"/>
      <c r="Y153" s="50"/>
      <c r="Z153" s="50"/>
    </row>
    <row r="154" spans="1:26">
      <c r="A154" t="s">
        <v>7</v>
      </c>
      <c r="B154" s="46">
        <v>742.4</v>
      </c>
      <c r="C154" s="46"/>
      <c r="E154" s="52" t="s">
        <v>756</v>
      </c>
      <c r="T154" s="145" t="s">
        <v>205</v>
      </c>
      <c r="V154" s="39"/>
      <c r="W154" s="39"/>
      <c r="X154" s="50"/>
      <c r="Y154" s="50"/>
      <c r="Z154" s="50"/>
    </row>
    <row r="155" spans="1:26">
      <c r="A155" t="s">
        <v>8</v>
      </c>
      <c r="B155" s="46"/>
      <c r="C155" s="46"/>
      <c r="E155" t="s">
        <v>167</v>
      </c>
      <c r="T155" s="39" t="s">
        <v>206</v>
      </c>
      <c r="V155" s="39"/>
      <c r="W155" s="39"/>
      <c r="X155" s="50"/>
      <c r="Y155" s="50"/>
      <c r="Z155" s="50"/>
    </row>
    <row r="156" spans="1:26">
      <c r="A156" s="3" t="s">
        <v>57</v>
      </c>
      <c r="B156" s="104">
        <f>SUM(B154:B155)</f>
        <v>742.4</v>
      </c>
      <c r="C156" s="104"/>
      <c r="V156" s="50"/>
      <c r="W156" s="50"/>
      <c r="X156" s="50"/>
      <c r="Y156" s="50"/>
      <c r="Z156" s="50"/>
    </row>
    <row r="157" spans="1:26">
      <c r="A157" s="3"/>
      <c r="B157" s="104"/>
      <c r="C157" s="104"/>
      <c r="V157" s="50"/>
      <c r="W157" s="50"/>
      <c r="X157" s="50"/>
      <c r="Y157" s="50"/>
      <c r="Z157" s="50"/>
    </row>
    <row r="158" spans="1:26">
      <c r="A158" t="s">
        <v>64</v>
      </c>
      <c r="B158" s="46"/>
      <c r="C158" s="46"/>
      <c r="V158" s="50"/>
      <c r="W158" s="50"/>
      <c r="X158" s="50"/>
      <c r="Y158" s="50"/>
      <c r="Z158" s="50"/>
    </row>
    <row r="159" spans="1:26">
      <c r="A159" t="s">
        <v>9</v>
      </c>
      <c r="B159" s="46">
        <v>127</v>
      </c>
      <c r="C159" s="46"/>
      <c r="E159" s="52" t="s">
        <v>742</v>
      </c>
      <c r="T159" s="52" t="s">
        <v>762</v>
      </c>
      <c r="V159" s="50"/>
      <c r="W159" s="50"/>
      <c r="X159" s="50"/>
      <c r="Y159" s="50"/>
      <c r="Z159" s="50"/>
    </row>
    <row r="160" spans="1:26">
      <c r="A160" t="s">
        <v>10</v>
      </c>
      <c r="B160" s="46">
        <v>706</v>
      </c>
      <c r="C160" s="46"/>
      <c r="E160" s="52" t="s">
        <v>742</v>
      </c>
      <c r="T160" t="s">
        <v>692</v>
      </c>
      <c r="V160" s="50"/>
      <c r="W160" s="50"/>
      <c r="X160" s="50"/>
      <c r="Y160" s="50"/>
      <c r="Z160" s="50"/>
    </row>
    <row r="161" spans="1:26">
      <c r="A161" s="3" t="s">
        <v>24</v>
      </c>
      <c r="B161" s="104">
        <f>SUM(B159:B160)</f>
        <v>833</v>
      </c>
      <c r="C161" s="104"/>
      <c r="E161" t="s">
        <v>378</v>
      </c>
      <c r="V161" s="50"/>
      <c r="W161" s="50"/>
      <c r="X161" s="50"/>
      <c r="Y161" s="50"/>
      <c r="Z161" s="50"/>
    </row>
    <row r="162" spans="1:26">
      <c r="B162" s="46"/>
      <c r="C162" s="46"/>
      <c r="V162" s="50"/>
      <c r="W162" s="50"/>
      <c r="X162" s="50"/>
      <c r="Y162" s="50"/>
      <c r="Z162" s="50"/>
    </row>
    <row r="163" spans="1:26" ht="15.75">
      <c r="A163" s="4" t="s">
        <v>23</v>
      </c>
      <c r="B163" s="49">
        <f>SUM(B138+B144+B146+B150+B149+B156+B161)</f>
        <v>3964.4182599999999</v>
      </c>
      <c r="C163" s="49"/>
      <c r="V163" s="50"/>
      <c r="W163" s="50"/>
      <c r="X163" s="50"/>
      <c r="Y163" s="50"/>
      <c r="Z163" s="50"/>
    </row>
    <row r="164" spans="1:26" ht="15.75">
      <c r="A164" s="4"/>
      <c r="B164" s="28"/>
      <c r="C164" s="49"/>
      <c r="V164" s="50"/>
      <c r="W164" s="50"/>
      <c r="X164" s="50"/>
      <c r="Y164" s="50"/>
      <c r="Z164" s="50"/>
    </row>
    <row r="165" spans="1:26" ht="15.75">
      <c r="A165" s="4"/>
      <c r="B165" s="28"/>
      <c r="C165" s="49"/>
      <c r="V165" s="50"/>
      <c r="W165" s="50"/>
      <c r="X165" s="50"/>
      <c r="Y165" s="50"/>
      <c r="Z165" s="50"/>
    </row>
    <row r="166" spans="1:26" ht="15.75">
      <c r="B166" s="40" t="s">
        <v>36</v>
      </c>
      <c r="C166" s="41"/>
      <c r="V166" s="50"/>
      <c r="W166" s="50"/>
      <c r="X166" s="50"/>
      <c r="Y166" s="50"/>
      <c r="Z166" s="50"/>
    </row>
    <row r="167" spans="1:26" ht="15.75">
      <c r="B167" s="40" t="s">
        <v>823</v>
      </c>
      <c r="C167" s="41"/>
      <c r="V167" s="50"/>
      <c r="W167" s="50"/>
      <c r="X167" s="50"/>
      <c r="Y167" s="50"/>
      <c r="Z167" s="50"/>
    </row>
    <row r="168" spans="1:26" ht="15.75">
      <c r="B168" s="40" t="s">
        <v>16</v>
      </c>
      <c r="C168" s="41"/>
      <c r="V168" s="50"/>
      <c r="W168" s="50"/>
      <c r="X168" s="50"/>
      <c r="Y168" s="50"/>
      <c r="Z168" s="50"/>
    </row>
    <row r="169" spans="1:26">
      <c r="A169" s="2" t="s">
        <v>11</v>
      </c>
      <c r="B169" s="106"/>
      <c r="C169" s="106"/>
      <c r="V169" s="50"/>
      <c r="W169" s="50"/>
      <c r="X169" s="50"/>
      <c r="Y169" s="50"/>
      <c r="Z169" s="50"/>
    </row>
    <row r="170" spans="1:26">
      <c r="B170" s="106"/>
      <c r="C170" s="106"/>
      <c r="V170" s="50"/>
      <c r="W170" s="50"/>
      <c r="X170" s="50"/>
      <c r="Y170" s="50"/>
      <c r="Z170" s="50"/>
    </row>
    <row r="171" spans="1:26">
      <c r="A171" t="s">
        <v>0</v>
      </c>
      <c r="B171" s="46">
        <f>'CAN Disability details 12-13'!B6*0.131</f>
        <v>90.39</v>
      </c>
      <c r="C171" s="46"/>
      <c r="E171" t="s">
        <v>811</v>
      </c>
      <c r="V171" s="50"/>
      <c r="W171" s="50"/>
      <c r="X171" s="50"/>
      <c r="Y171" s="50"/>
      <c r="Z171" s="50"/>
    </row>
    <row r="172" spans="1:26">
      <c r="A172" t="s">
        <v>1</v>
      </c>
      <c r="B172" s="46">
        <f>'CAN Disability details 12-13'!B7*0.131</f>
        <v>157.20000000000002</v>
      </c>
      <c r="C172" s="46"/>
      <c r="E172" t="s">
        <v>218</v>
      </c>
      <c r="I172" t="s">
        <v>93</v>
      </c>
      <c r="V172" s="50"/>
      <c r="W172" s="50"/>
      <c r="X172" s="50"/>
      <c r="Y172" s="50"/>
      <c r="Z172" s="50"/>
    </row>
    <row r="173" spans="1:26">
      <c r="A173" t="s">
        <v>14</v>
      </c>
      <c r="B173" s="46">
        <f>'CAN Disability details 12-13'!B8*0.131</f>
        <v>13.755000000000001</v>
      </c>
      <c r="C173" s="46"/>
      <c r="E173" s="52" t="s">
        <v>771</v>
      </c>
      <c r="V173" s="50"/>
      <c r="W173" s="50"/>
      <c r="X173" s="50"/>
      <c r="Y173" s="50"/>
      <c r="Z173" s="50"/>
    </row>
    <row r="174" spans="1:26">
      <c r="A174" t="s">
        <v>2</v>
      </c>
      <c r="B174" s="46">
        <f>'CAN Disability details 12-13'!B9*0.131</f>
        <v>0.65500000000000003</v>
      </c>
      <c r="C174" s="46"/>
      <c r="V174" s="50"/>
      <c r="W174" s="50"/>
      <c r="X174" s="50"/>
      <c r="Y174" s="50"/>
      <c r="Z174" s="50"/>
    </row>
    <row r="175" spans="1:26">
      <c r="A175" t="s">
        <v>68</v>
      </c>
      <c r="B175" s="46">
        <f>'CAN Disability details 12-13'!B10*0.131</f>
        <v>0</v>
      </c>
      <c r="C175" s="46"/>
      <c r="V175" s="50"/>
      <c r="W175" s="50"/>
      <c r="X175" s="50"/>
      <c r="Y175" s="50"/>
      <c r="Z175" s="50"/>
    </row>
    <row r="176" spans="1:26">
      <c r="A176" t="s">
        <v>3</v>
      </c>
      <c r="B176" s="46">
        <f>'CAN Disability details 12-13'!B11*0.131</f>
        <v>18.34</v>
      </c>
      <c r="C176" s="46"/>
      <c r="V176" s="50"/>
      <c r="W176" s="50"/>
      <c r="X176" s="50"/>
      <c r="Y176" s="50"/>
      <c r="Z176" s="50"/>
    </row>
    <row r="177" spans="1:26">
      <c r="A177" t="s">
        <v>15</v>
      </c>
      <c r="B177" s="46">
        <f>'CAN Disability details 12-13'!B12*0.131</f>
        <v>34.646880000000003</v>
      </c>
      <c r="C177" s="46"/>
      <c r="E177" s="248" t="s">
        <v>901</v>
      </c>
      <c r="F177" s="249"/>
      <c r="G177" s="249"/>
      <c r="H177" s="249"/>
      <c r="I177" s="30"/>
      <c r="J177" s="30"/>
      <c r="K177" s="30"/>
      <c r="L177" s="30"/>
      <c r="M177" s="30"/>
      <c r="N177" s="30"/>
      <c r="O177" s="30"/>
      <c r="P177" s="30"/>
      <c r="Q177" s="171"/>
      <c r="V177" s="50"/>
      <c r="W177" s="50"/>
      <c r="X177" s="50"/>
      <c r="Y177" s="50"/>
      <c r="Z177" s="50"/>
    </row>
    <row r="178" spans="1:26">
      <c r="A178" s="3" t="s">
        <v>24</v>
      </c>
      <c r="B178" s="104">
        <f>SUM(B171:B177)</f>
        <v>314.98687999999999</v>
      </c>
      <c r="C178" s="104"/>
      <c r="E178" s="6"/>
      <c r="Q178" s="111"/>
      <c r="V178" s="50"/>
      <c r="W178" s="50"/>
      <c r="X178" s="50"/>
      <c r="Y178" s="50"/>
      <c r="Z178" s="50"/>
    </row>
    <row r="179" spans="1:26">
      <c r="B179" s="46"/>
      <c r="C179" s="46"/>
      <c r="Q179" s="29"/>
      <c r="V179" s="50"/>
      <c r="W179" s="50"/>
      <c r="X179" s="50"/>
      <c r="Y179" s="50"/>
      <c r="Z179" s="50"/>
    </row>
    <row r="180" spans="1:26">
      <c r="A180" s="2" t="s">
        <v>4</v>
      </c>
      <c r="B180" s="46"/>
      <c r="C180" s="46"/>
      <c r="Q180" s="29"/>
      <c r="V180" s="50"/>
      <c r="W180" s="50"/>
      <c r="X180" s="50"/>
      <c r="Y180" s="50"/>
      <c r="Z180" s="50"/>
    </row>
    <row r="181" spans="1:26">
      <c r="A181" t="s">
        <v>5</v>
      </c>
      <c r="B181" s="46">
        <v>711</v>
      </c>
      <c r="C181" s="46"/>
      <c r="E181" s="52" t="s">
        <v>747</v>
      </c>
      <c r="F181" s="30"/>
      <c r="G181" s="30"/>
      <c r="H181" s="30"/>
      <c r="I181" s="30"/>
      <c r="J181" s="30"/>
      <c r="K181" s="30"/>
      <c r="L181" s="30"/>
      <c r="M181" s="30"/>
      <c r="N181" s="30"/>
      <c r="O181" s="30"/>
      <c r="P181" s="30"/>
      <c r="Q181" s="172"/>
      <c r="V181" s="50"/>
      <c r="W181" s="50"/>
      <c r="X181" s="50"/>
      <c r="Y181" s="50"/>
      <c r="Z181" s="50"/>
    </row>
    <row r="182" spans="1:26" ht="24.75" customHeight="1">
      <c r="A182" t="s">
        <v>69</v>
      </c>
      <c r="B182" s="105"/>
      <c r="C182" s="105"/>
      <c r="E182" s="321" t="s">
        <v>748</v>
      </c>
      <c r="F182" s="321"/>
      <c r="G182" s="321"/>
      <c r="H182" s="321"/>
      <c r="I182" s="321"/>
      <c r="J182" s="321"/>
      <c r="K182" s="321"/>
      <c r="L182" s="321"/>
      <c r="M182" s="321"/>
      <c r="N182" s="300"/>
      <c r="O182" s="300"/>
      <c r="P182" s="300"/>
      <c r="Q182" s="172"/>
      <c r="V182" s="50"/>
      <c r="W182" s="50"/>
      <c r="X182" s="50"/>
      <c r="Y182" s="50"/>
      <c r="Z182" s="50"/>
    </row>
    <row r="183" spans="1:26">
      <c r="A183" t="s">
        <v>6</v>
      </c>
      <c r="B183" s="114">
        <v>176.1</v>
      </c>
      <c r="C183" s="114"/>
      <c r="E183" s="120" t="s">
        <v>694</v>
      </c>
      <c r="F183" s="103"/>
      <c r="G183" s="103"/>
      <c r="H183" s="103"/>
      <c r="I183" s="103"/>
      <c r="J183" s="109"/>
      <c r="K183" s="109"/>
      <c r="L183" s="109"/>
      <c r="M183" s="109"/>
      <c r="N183" s="109"/>
      <c r="O183" s="109"/>
      <c r="P183" s="109"/>
      <c r="Q183" s="109"/>
      <c r="V183" s="50"/>
      <c r="W183" s="50"/>
      <c r="X183" s="50"/>
      <c r="Y183" s="50"/>
      <c r="Z183" s="50"/>
    </row>
    <row r="184" spans="1:26">
      <c r="A184" s="3" t="s">
        <v>24</v>
      </c>
      <c r="B184" s="112">
        <f>SUM(B181:B183)</f>
        <v>887.1</v>
      </c>
      <c r="C184" s="112"/>
      <c r="V184" s="50"/>
      <c r="W184" s="50"/>
      <c r="X184" s="50"/>
      <c r="Y184" s="50"/>
      <c r="Z184" s="50"/>
    </row>
    <row r="185" spans="1:26">
      <c r="A185" s="3"/>
      <c r="B185" s="112"/>
      <c r="C185" s="112"/>
      <c r="V185" s="50"/>
      <c r="W185" s="50"/>
      <c r="X185" s="50"/>
      <c r="Y185" s="50"/>
      <c r="Z185" s="50"/>
    </row>
    <row r="186" spans="1:26">
      <c r="A186" s="52" t="s">
        <v>101</v>
      </c>
      <c r="B186" s="114">
        <v>292.2</v>
      </c>
      <c r="C186" s="112"/>
      <c r="V186" s="50"/>
      <c r="W186" s="50"/>
      <c r="X186" s="50"/>
      <c r="Y186" s="50"/>
      <c r="Z186" s="50"/>
    </row>
    <row r="187" spans="1:26">
      <c r="A187" t="s">
        <v>478</v>
      </c>
      <c r="B187" s="46">
        <v>51.1</v>
      </c>
      <c r="C187" s="46"/>
      <c r="V187" s="50"/>
      <c r="W187" s="50"/>
      <c r="X187" s="50"/>
      <c r="Y187" s="50"/>
      <c r="Z187" s="50"/>
    </row>
    <row r="188" spans="1:26">
      <c r="A188" s="2" t="s">
        <v>709</v>
      </c>
      <c r="B188" s="104">
        <f>305.9+50.3</f>
        <v>356.2</v>
      </c>
      <c r="C188" s="104"/>
      <c r="E188" s="52" t="s">
        <v>98</v>
      </c>
      <c r="V188" s="50"/>
      <c r="W188" s="50"/>
      <c r="X188" s="50"/>
      <c r="Y188" s="50"/>
      <c r="Z188" s="50"/>
    </row>
    <row r="189" spans="1:26">
      <c r="A189" s="3"/>
      <c r="B189" s="104"/>
      <c r="C189" s="104"/>
      <c r="V189" s="50"/>
      <c r="W189" s="50"/>
      <c r="X189" s="50"/>
      <c r="Y189" s="50"/>
      <c r="Z189" s="50"/>
    </row>
    <row r="190" spans="1:26">
      <c r="A190" s="2" t="s">
        <v>334</v>
      </c>
      <c r="B190" s="46"/>
      <c r="C190" s="46"/>
      <c r="V190" s="50"/>
      <c r="W190" s="50"/>
      <c r="X190" s="50"/>
      <c r="Y190" s="50"/>
      <c r="Z190" s="50"/>
    </row>
    <row r="191" spans="1:26">
      <c r="A191" s="103" t="s">
        <v>335</v>
      </c>
      <c r="B191" s="46">
        <f>'SA $ by prov 12-13'!B33</f>
        <v>871.6</v>
      </c>
      <c r="C191" s="46"/>
      <c r="E191" s="52" t="s">
        <v>1004</v>
      </c>
      <c r="V191" s="50"/>
      <c r="W191" s="50"/>
      <c r="X191" s="50"/>
      <c r="Y191" s="50"/>
      <c r="Z191" s="50"/>
    </row>
    <row r="192" spans="1:26">
      <c r="A192" s="103" t="s">
        <v>12</v>
      </c>
      <c r="B192" s="114">
        <f>103.2*0.57</f>
        <v>58.823999999999998</v>
      </c>
      <c r="C192" s="114"/>
      <c r="D192" s="120"/>
      <c r="E192" s="278" t="s">
        <v>1005</v>
      </c>
      <c r="V192" s="50"/>
      <c r="W192" s="50"/>
      <c r="X192" s="50"/>
      <c r="Y192" s="50"/>
      <c r="Z192" s="50"/>
    </row>
    <row r="193" spans="1:26">
      <c r="A193" s="115" t="s">
        <v>24</v>
      </c>
      <c r="B193" s="112">
        <f>SUM(B191:B192)</f>
        <v>930.42399999999998</v>
      </c>
      <c r="C193" s="112"/>
      <c r="D193" s="103"/>
      <c r="V193" s="50"/>
      <c r="W193" s="50"/>
      <c r="X193" s="50"/>
      <c r="Y193" s="50"/>
      <c r="Z193" s="50"/>
    </row>
    <row r="194" spans="1:26">
      <c r="A194" s="3"/>
      <c r="B194" s="104"/>
      <c r="C194" s="104"/>
      <c r="V194" s="50"/>
      <c r="W194" s="50"/>
      <c r="X194" s="50"/>
      <c r="Y194" s="50"/>
      <c r="Z194" s="50"/>
    </row>
    <row r="195" spans="1:26">
      <c r="A195" s="2" t="s">
        <v>13</v>
      </c>
      <c r="B195" s="46"/>
      <c r="C195" s="46"/>
      <c r="V195" s="50"/>
      <c r="W195" s="50"/>
      <c r="X195" s="50"/>
      <c r="Y195" s="50"/>
      <c r="Z195" s="50"/>
    </row>
    <row r="196" spans="1:26">
      <c r="A196" t="s">
        <v>7</v>
      </c>
      <c r="B196" s="46">
        <v>821.6</v>
      </c>
      <c r="C196" s="46"/>
      <c r="E196" s="52" t="s">
        <v>973</v>
      </c>
      <c r="V196" s="50"/>
      <c r="W196" s="50"/>
      <c r="X196" s="50"/>
      <c r="Y196" s="50"/>
      <c r="Z196" s="50"/>
    </row>
    <row r="197" spans="1:26">
      <c r="A197" t="s">
        <v>8</v>
      </c>
      <c r="B197" s="46"/>
      <c r="C197" s="46"/>
      <c r="E197" t="s">
        <v>167</v>
      </c>
      <c r="V197" s="50"/>
      <c r="W197" s="50"/>
      <c r="X197" s="50"/>
      <c r="Y197" s="50"/>
      <c r="Z197" s="50"/>
    </row>
    <row r="198" spans="1:26">
      <c r="A198" s="3" t="s">
        <v>57</v>
      </c>
      <c r="B198" s="104">
        <f>SUM(B196:B197)</f>
        <v>821.6</v>
      </c>
      <c r="C198" s="104"/>
      <c r="V198" s="50"/>
      <c r="W198" s="50"/>
      <c r="X198" s="50"/>
      <c r="Y198" s="50"/>
      <c r="Z198" s="50"/>
    </row>
    <row r="199" spans="1:26">
      <c r="A199" s="3"/>
      <c r="B199" s="104"/>
      <c r="C199" s="104"/>
      <c r="V199" s="50"/>
      <c r="W199" s="50"/>
      <c r="X199" s="50"/>
      <c r="Y199" s="50"/>
      <c r="Z199" s="50"/>
    </row>
    <row r="200" spans="1:26">
      <c r="A200" t="s">
        <v>64</v>
      </c>
      <c r="B200" s="46"/>
      <c r="C200" s="46"/>
      <c r="V200" s="50"/>
      <c r="W200" s="50"/>
      <c r="X200" s="50"/>
      <c r="Y200" s="50"/>
      <c r="Z200" s="50"/>
    </row>
    <row r="201" spans="1:26">
      <c r="A201" t="s">
        <v>9</v>
      </c>
      <c r="B201" s="46">
        <v>130</v>
      </c>
      <c r="C201" s="46"/>
      <c r="E201" s="52" t="s">
        <v>961</v>
      </c>
      <c r="V201" s="50"/>
      <c r="W201" s="50"/>
      <c r="X201" s="50"/>
      <c r="Y201" s="50"/>
      <c r="Z201" s="50"/>
    </row>
    <row r="202" spans="1:26">
      <c r="A202" t="s">
        <v>10</v>
      </c>
      <c r="B202" s="46">
        <v>734</v>
      </c>
      <c r="C202" s="46"/>
      <c r="E202" s="52" t="s">
        <v>961</v>
      </c>
      <c r="V202" s="50"/>
      <c r="W202" s="50"/>
      <c r="X202" s="50"/>
      <c r="Y202" s="50"/>
      <c r="Z202" s="50"/>
    </row>
    <row r="203" spans="1:26">
      <c r="A203" s="3" t="s">
        <v>24</v>
      </c>
      <c r="B203" s="104">
        <f>SUM(B201:B202)</f>
        <v>864</v>
      </c>
      <c r="C203" s="104"/>
      <c r="E203" t="s">
        <v>378</v>
      </c>
      <c r="V203" s="50"/>
      <c r="W203" s="50"/>
      <c r="X203" s="50"/>
      <c r="Y203" s="50"/>
      <c r="Z203" s="50"/>
    </row>
    <row r="204" spans="1:26">
      <c r="B204" s="46"/>
      <c r="C204" s="46"/>
      <c r="V204" s="50"/>
      <c r="W204" s="50"/>
      <c r="X204" s="50"/>
      <c r="Y204" s="50"/>
      <c r="Z204" s="50"/>
    </row>
    <row r="205" spans="1:26" ht="15.75">
      <c r="A205" s="4" t="s">
        <v>23</v>
      </c>
      <c r="B205" s="49">
        <f>SUM(B178+B184+B188+B193+B198+B203)</f>
        <v>4174.31088</v>
      </c>
      <c r="C205" s="49"/>
      <c r="V205" s="50"/>
      <c r="W205" s="50"/>
      <c r="X205" s="50"/>
      <c r="Y205" s="50"/>
      <c r="Z205" s="50"/>
    </row>
    <row r="206" spans="1:26" ht="15.75">
      <c r="A206" s="4"/>
      <c r="B206" s="28"/>
      <c r="C206" s="49"/>
      <c r="V206" s="50"/>
      <c r="W206" s="50"/>
      <c r="X206" s="50"/>
      <c r="Y206" s="50"/>
      <c r="Z206" s="50"/>
    </row>
    <row r="207" spans="1:26" ht="15.75">
      <c r="A207" s="4"/>
      <c r="B207" s="28"/>
      <c r="C207" s="49"/>
      <c r="V207" s="50"/>
      <c r="W207" s="50"/>
      <c r="X207" s="50"/>
      <c r="Y207" s="50"/>
      <c r="Z207" s="50"/>
    </row>
    <row r="208" spans="1:26" ht="15.75">
      <c r="B208" s="40" t="s">
        <v>36</v>
      </c>
      <c r="C208" s="41"/>
      <c r="V208" s="50"/>
      <c r="W208" s="50"/>
      <c r="X208" s="50"/>
      <c r="Y208" s="50"/>
      <c r="Z208" s="50"/>
    </row>
    <row r="209" spans="1:26" ht="15.75">
      <c r="B209" s="40" t="s">
        <v>824</v>
      </c>
      <c r="C209" s="41"/>
      <c r="V209" s="50"/>
      <c r="W209" s="50"/>
      <c r="X209" s="50"/>
      <c r="Y209" s="50"/>
      <c r="Z209" s="50"/>
    </row>
    <row r="210" spans="1:26" ht="15.75">
      <c r="B210" s="40" t="s">
        <v>16</v>
      </c>
      <c r="C210" s="41"/>
      <c r="V210" s="50"/>
      <c r="W210" s="50"/>
      <c r="X210" s="50"/>
      <c r="Y210" s="50"/>
      <c r="Z210" s="50"/>
    </row>
    <row r="211" spans="1:26">
      <c r="A211" s="2" t="s">
        <v>11</v>
      </c>
      <c r="B211" s="106"/>
      <c r="C211" s="106"/>
      <c r="V211" s="50"/>
      <c r="W211" s="50"/>
      <c r="X211" s="50"/>
      <c r="Y211" s="50"/>
      <c r="Z211" s="50"/>
    </row>
    <row r="212" spans="1:26">
      <c r="B212" s="106"/>
      <c r="C212" s="106"/>
      <c r="V212" s="50"/>
      <c r="W212" s="50"/>
      <c r="X212" s="50"/>
      <c r="Y212" s="50"/>
      <c r="Z212" s="50"/>
    </row>
    <row r="213" spans="1:26">
      <c r="A213" t="s">
        <v>0</v>
      </c>
      <c r="B213" s="46">
        <f>'CAN Disability detailes 13-14'!B6*0.13</f>
        <v>93.600000000000009</v>
      </c>
      <c r="C213" s="46"/>
      <c r="E213" t="s">
        <v>811</v>
      </c>
      <c r="V213" s="50"/>
      <c r="W213" s="50"/>
      <c r="X213" s="50"/>
      <c r="Y213" s="50"/>
      <c r="Z213" s="50"/>
    </row>
    <row r="214" spans="1:26">
      <c r="A214" t="s">
        <v>1</v>
      </c>
      <c r="B214" s="46">
        <f>'CAN Disability detailes 13-14'!B7*0.13</f>
        <v>168.35</v>
      </c>
      <c r="C214" s="46"/>
      <c r="E214" t="s">
        <v>218</v>
      </c>
      <c r="I214" t="s">
        <v>93</v>
      </c>
      <c r="V214" s="50"/>
      <c r="W214" s="50"/>
      <c r="X214" s="50"/>
      <c r="Y214" s="50"/>
      <c r="Z214" s="50"/>
    </row>
    <row r="215" spans="1:26">
      <c r="A215" t="s">
        <v>14</v>
      </c>
      <c r="B215" s="46">
        <f>'CAN Disability detailes 13-14'!B8*0.13</f>
        <v>14.3</v>
      </c>
      <c r="C215" s="46"/>
      <c r="E215" s="52" t="s">
        <v>1013</v>
      </c>
      <c r="V215" s="50"/>
      <c r="W215" s="50"/>
      <c r="X215" s="50"/>
      <c r="Y215" s="50"/>
      <c r="Z215" s="50"/>
    </row>
    <row r="216" spans="1:26">
      <c r="A216" t="s">
        <v>2</v>
      </c>
      <c r="B216" s="46">
        <f>'CAN Disability detailes 13-14'!B9*0.13</f>
        <v>0.78</v>
      </c>
      <c r="C216" s="46"/>
      <c r="V216" s="50"/>
      <c r="W216" s="50"/>
      <c r="X216" s="50"/>
      <c r="Y216" s="50"/>
      <c r="Z216" s="50"/>
    </row>
    <row r="217" spans="1:26">
      <c r="A217" t="s">
        <v>68</v>
      </c>
      <c r="B217" s="46">
        <f>'CAN Disability detailes 13-14'!B10*0.13</f>
        <v>0</v>
      </c>
      <c r="C217" s="46"/>
      <c r="V217" s="50"/>
      <c r="W217" s="50"/>
      <c r="X217" s="50"/>
      <c r="Y217" s="50"/>
      <c r="Z217" s="50"/>
    </row>
    <row r="218" spans="1:26">
      <c r="A218" t="s">
        <v>3</v>
      </c>
      <c r="B218" s="46">
        <f>'CAN Disability detailes 13-14'!B11*0.13</f>
        <v>18.850000000000001</v>
      </c>
      <c r="C218" s="46"/>
      <c r="V218" s="50"/>
      <c r="W218" s="50"/>
      <c r="X218" s="50"/>
      <c r="Y218" s="50"/>
      <c r="Z218" s="50"/>
    </row>
    <row r="219" spans="1:26">
      <c r="A219" t="s">
        <v>15</v>
      </c>
      <c r="B219" s="46">
        <f>'CAN Disability detailes 13-14'!B12*0.13</f>
        <v>31.931250000000002</v>
      </c>
      <c r="C219" s="46"/>
      <c r="E219" s="248" t="s">
        <v>908</v>
      </c>
      <c r="F219" s="249"/>
      <c r="G219" s="249"/>
      <c r="H219" s="249"/>
      <c r="I219" s="30"/>
      <c r="J219" s="30"/>
      <c r="K219" s="30"/>
      <c r="L219" s="30"/>
      <c r="M219" s="30"/>
      <c r="N219" s="30"/>
      <c r="O219" s="30"/>
      <c r="P219" s="30"/>
      <c r="Q219" s="171"/>
      <c r="V219" s="50"/>
      <c r="W219" s="50"/>
      <c r="X219" s="50"/>
      <c r="Y219" s="50"/>
      <c r="Z219" s="50"/>
    </row>
    <row r="220" spans="1:26">
      <c r="A220" s="3" t="s">
        <v>24</v>
      </c>
      <c r="B220" s="104">
        <f>SUM(B213:B219)</f>
        <v>327.81124999999997</v>
      </c>
      <c r="C220" s="104"/>
      <c r="E220" s="6"/>
      <c r="Q220" s="111"/>
      <c r="V220" s="50"/>
      <c r="W220" s="50"/>
      <c r="X220" s="50"/>
      <c r="Y220" s="50"/>
      <c r="Z220" s="50"/>
    </row>
    <row r="221" spans="1:26">
      <c r="B221" s="46"/>
      <c r="C221" s="46"/>
      <c r="Q221" s="29"/>
      <c r="V221" s="50"/>
      <c r="W221" s="50"/>
      <c r="X221" s="50"/>
      <c r="Y221" s="50"/>
      <c r="Z221" s="50"/>
    </row>
    <row r="222" spans="1:26">
      <c r="A222" s="2" t="s">
        <v>4</v>
      </c>
      <c r="B222" s="46"/>
      <c r="C222" s="46"/>
      <c r="Q222" s="29"/>
      <c r="V222" s="50"/>
      <c r="W222" s="50"/>
      <c r="X222" s="50"/>
      <c r="Y222" s="50"/>
      <c r="Z222" s="50"/>
    </row>
    <row r="223" spans="1:26">
      <c r="A223" t="s">
        <v>5</v>
      </c>
      <c r="B223" s="46">
        <v>725.8</v>
      </c>
      <c r="C223" s="46"/>
      <c r="E223" s="52" t="s">
        <v>747</v>
      </c>
      <c r="F223" s="30"/>
      <c r="G223" s="30"/>
      <c r="H223" s="30"/>
      <c r="I223" s="30"/>
      <c r="J223" s="30"/>
      <c r="K223" s="30"/>
      <c r="L223" s="30"/>
      <c r="M223" s="30"/>
      <c r="N223" s="30"/>
      <c r="O223" s="30"/>
      <c r="P223" s="30"/>
      <c r="Q223" s="172"/>
      <c r="V223" s="50"/>
      <c r="W223" s="50"/>
      <c r="X223" s="50"/>
      <c r="Y223" s="50"/>
      <c r="Z223" s="50"/>
    </row>
    <row r="224" spans="1:26" ht="25.5" customHeight="1">
      <c r="A224" t="s">
        <v>69</v>
      </c>
      <c r="B224" s="105"/>
      <c r="C224" s="105"/>
      <c r="E224" s="321" t="s">
        <v>748</v>
      </c>
      <c r="F224" s="321"/>
      <c r="G224" s="321"/>
      <c r="H224" s="321"/>
      <c r="I224" s="321"/>
      <c r="J224" s="321"/>
      <c r="K224" s="321"/>
      <c r="L224" s="321"/>
      <c r="M224" s="321"/>
      <c r="N224" s="321"/>
      <c r="O224" s="300"/>
      <c r="P224" s="300"/>
      <c r="Q224" s="172"/>
      <c r="V224" s="50"/>
      <c r="W224" s="50"/>
      <c r="X224" s="50"/>
      <c r="Y224" s="50"/>
      <c r="Z224" s="50"/>
    </row>
    <row r="225" spans="1:26">
      <c r="A225" t="s">
        <v>6</v>
      </c>
      <c r="B225" s="114">
        <v>184.6</v>
      </c>
      <c r="C225" s="114"/>
      <c r="E225" s="120" t="s">
        <v>694</v>
      </c>
      <c r="F225" s="103"/>
      <c r="G225" s="103"/>
      <c r="H225" s="103"/>
      <c r="I225" s="103"/>
      <c r="J225" s="103"/>
      <c r="K225" s="103"/>
      <c r="L225" s="103"/>
      <c r="M225" s="103"/>
      <c r="N225" s="103"/>
      <c r="O225" s="103"/>
      <c r="P225" s="103"/>
      <c r="Q225" s="111"/>
      <c r="V225" s="50"/>
      <c r="W225" s="50"/>
      <c r="X225" s="50"/>
      <c r="Y225" s="50"/>
      <c r="Z225" s="50"/>
    </row>
    <row r="226" spans="1:26">
      <c r="A226" s="3" t="s">
        <v>24</v>
      </c>
      <c r="B226" s="112">
        <f>SUM(B223:B225)</f>
        <v>910.4</v>
      </c>
      <c r="C226" s="112"/>
      <c r="V226" s="50"/>
      <c r="W226" s="50"/>
      <c r="X226" s="50"/>
      <c r="Y226" s="50"/>
      <c r="Z226" s="50"/>
    </row>
    <row r="227" spans="1:26">
      <c r="A227" s="3"/>
      <c r="B227" s="112"/>
      <c r="C227" s="112"/>
      <c r="V227" s="50"/>
      <c r="W227" s="50"/>
      <c r="X227" s="50"/>
      <c r="Y227" s="50"/>
      <c r="Z227" s="50"/>
    </row>
    <row r="228" spans="1:26">
      <c r="A228" s="52" t="s">
        <v>101</v>
      </c>
      <c r="B228" s="114">
        <v>275.8</v>
      </c>
      <c r="C228" s="112"/>
      <c r="V228" s="50"/>
      <c r="W228" s="50"/>
      <c r="X228" s="50"/>
      <c r="Y228" s="50"/>
      <c r="Z228" s="50"/>
    </row>
    <row r="229" spans="1:26">
      <c r="A229" t="s">
        <v>478</v>
      </c>
      <c r="B229" s="46">
        <v>49.9</v>
      </c>
      <c r="C229" s="46"/>
      <c r="V229" s="50"/>
      <c r="W229" s="50"/>
      <c r="X229" s="50"/>
      <c r="Y229" s="50"/>
      <c r="Z229" s="50"/>
    </row>
    <row r="230" spans="1:26">
      <c r="A230" s="2" t="s">
        <v>709</v>
      </c>
      <c r="B230" s="104">
        <f>305.9+50.3</f>
        <v>356.2</v>
      </c>
      <c r="C230" s="104"/>
      <c r="E230" s="52" t="s">
        <v>98</v>
      </c>
      <c r="V230" s="50"/>
      <c r="W230" s="50"/>
      <c r="X230" s="50"/>
      <c r="Y230" s="50"/>
      <c r="Z230" s="50"/>
    </row>
    <row r="231" spans="1:26">
      <c r="A231" s="3"/>
      <c r="B231" s="104"/>
      <c r="C231" s="104"/>
      <c r="V231" s="50"/>
      <c r="W231" s="50"/>
      <c r="X231" s="50"/>
      <c r="Y231" s="50"/>
      <c r="Z231" s="50"/>
    </row>
    <row r="232" spans="1:26">
      <c r="A232" s="2" t="s">
        <v>334</v>
      </c>
      <c r="B232" s="46"/>
      <c r="C232" s="46"/>
      <c r="V232" s="50"/>
      <c r="W232" s="50"/>
      <c r="X232" s="50"/>
      <c r="Y232" s="50"/>
      <c r="Z232" s="50"/>
    </row>
    <row r="233" spans="1:26">
      <c r="A233" s="103" t="s">
        <v>335</v>
      </c>
      <c r="B233" s="46">
        <f>'SA $ by prov 13-14'!B33</f>
        <v>905.5</v>
      </c>
      <c r="C233" s="46"/>
      <c r="E233" t="s">
        <v>1011</v>
      </c>
      <c r="V233" s="50"/>
      <c r="W233" s="50"/>
      <c r="X233" s="50"/>
      <c r="Y233" s="50"/>
      <c r="Z233" s="50"/>
    </row>
    <row r="234" spans="1:26">
      <c r="A234" s="103" t="s">
        <v>12</v>
      </c>
      <c r="B234" s="114">
        <f>105.8*0.59</f>
        <v>62.421999999999997</v>
      </c>
      <c r="C234" s="114"/>
      <c r="D234" s="120"/>
      <c r="E234" s="106" t="s">
        <v>1016</v>
      </c>
      <c r="V234" s="50"/>
      <c r="W234" s="50"/>
      <c r="X234" s="50"/>
      <c r="Y234" s="50"/>
      <c r="Z234" s="50"/>
    </row>
    <row r="235" spans="1:26">
      <c r="A235" s="115" t="s">
        <v>24</v>
      </c>
      <c r="B235" s="112">
        <f>SUM(B233:B234)</f>
        <v>967.92200000000003</v>
      </c>
      <c r="C235" s="112" t="s">
        <v>237</v>
      </c>
      <c r="D235" s="103"/>
      <c r="V235" s="50"/>
      <c r="W235" s="50"/>
      <c r="X235" s="50"/>
      <c r="Y235" s="50"/>
      <c r="Z235" s="50"/>
    </row>
    <row r="236" spans="1:26">
      <c r="A236" s="3"/>
      <c r="B236" s="104"/>
      <c r="C236" s="104"/>
      <c r="V236" s="50"/>
      <c r="W236" s="50"/>
      <c r="X236" s="50"/>
      <c r="Y236" s="50"/>
      <c r="Z236" s="50"/>
    </row>
    <row r="237" spans="1:26">
      <c r="A237" s="2" t="s">
        <v>13</v>
      </c>
      <c r="B237" s="46"/>
      <c r="C237" s="46"/>
      <c r="V237" s="50"/>
      <c r="W237" s="50"/>
      <c r="X237" s="50"/>
      <c r="Y237" s="50"/>
      <c r="Z237" s="50"/>
    </row>
    <row r="238" spans="1:26">
      <c r="A238" t="s">
        <v>7</v>
      </c>
      <c r="B238" s="46">
        <v>829.5</v>
      </c>
      <c r="C238" s="46"/>
      <c r="E238" s="52" t="s">
        <v>974</v>
      </c>
      <c r="V238" s="50"/>
      <c r="W238" s="50"/>
      <c r="X238" s="50"/>
      <c r="Y238" s="50"/>
      <c r="Z238" s="50"/>
    </row>
    <row r="239" spans="1:26">
      <c r="A239" t="s">
        <v>8</v>
      </c>
      <c r="B239" s="46"/>
      <c r="C239" s="46"/>
      <c r="E239" s="52" t="s">
        <v>1006</v>
      </c>
      <c r="V239" s="50"/>
      <c r="W239" s="50"/>
      <c r="X239" s="50"/>
      <c r="Y239" s="50"/>
      <c r="Z239" s="50"/>
    </row>
    <row r="240" spans="1:26">
      <c r="A240" s="3" t="s">
        <v>57</v>
      </c>
      <c r="B240" s="104">
        <f>SUM(B238:B239)</f>
        <v>829.5</v>
      </c>
      <c r="C240" s="104"/>
      <c r="V240" s="50"/>
      <c r="W240" s="50"/>
      <c r="X240" s="50"/>
      <c r="Y240" s="50"/>
      <c r="Z240" s="50"/>
    </row>
    <row r="241" spans="1:28">
      <c r="A241" s="3"/>
      <c r="B241" s="104"/>
      <c r="C241" s="104"/>
      <c r="V241" s="50"/>
      <c r="W241" s="50"/>
      <c r="X241" s="50"/>
      <c r="Y241" s="50"/>
      <c r="Z241" s="50"/>
    </row>
    <row r="242" spans="1:28">
      <c r="A242" t="s">
        <v>64</v>
      </c>
      <c r="B242" s="46"/>
      <c r="C242" s="46"/>
      <c r="V242" s="50"/>
      <c r="W242" s="50"/>
      <c r="X242" s="50"/>
      <c r="Y242" s="50"/>
      <c r="Z242" s="50"/>
    </row>
    <row r="243" spans="1:28">
      <c r="A243" t="s">
        <v>9</v>
      </c>
      <c r="B243" s="46">
        <v>118</v>
      </c>
      <c r="C243" s="46"/>
      <c r="E243" s="52" t="s">
        <v>927</v>
      </c>
      <c r="V243" s="50"/>
      <c r="W243" s="50"/>
      <c r="X243" s="50"/>
      <c r="Y243" s="50"/>
      <c r="Z243" s="50"/>
    </row>
    <row r="244" spans="1:28">
      <c r="A244" t="s">
        <v>10</v>
      </c>
      <c r="B244" s="46">
        <v>797</v>
      </c>
      <c r="C244" s="46"/>
      <c r="E244" s="52" t="s">
        <v>927</v>
      </c>
      <c r="V244" s="50"/>
      <c r="W244" s="50"/>
      <c r="X244" s="50"/>
      <c r="Y244" s="50"/>
      <c r="Z244" s="50"/>
    </row>
    <row r="245" spans="1:28">
      <c r="A245" s="3" t="s">
        <v>24</v>
      </c>
      <c r="B245" s="104">
        <f>SUM(B243:B244)</f>
        <v>915</v>
      </c>
      <c r="C245" s="104"/>
      <c r="E245" t="s">
        <v>378</v>
      </c>
      <c r="V245" s="50"/>
      <c r="W245" s="50"/>
      <c r="X245" s="50"/>
      <c r="Y245" s="50"/>
      <c r="Z245" s="50"/>
    </row>
    <row r="246" spans="1:28">
      <c r="B246" s="46"/>
      <c r="C246" s="46"/>
      <c r="V246" s="50"/>
      <c r="W246" s="50"/>
      <c r="X246" s="50"/>
      <c r="Y246" s="50"/>
      <c r="Z246" s="50"/>
    </row>
    <row r="247" spans="1:28" ht="15.75">
      <c r="A247" s="4" t="s">
        <v>23</v>
      </c>
      <c r="B247" s="49">
        <f>SUM(B220+B226+B230+B235+B240+B245)</f>
        <v>4306.8332499999997</v>
      </c>
      <c r="C247" s="49"/>
      <c r="V247" s="50"/>
      <c r="W247" s="50"/>
      <c r="X247" s="50"/>
      <c r="Y247" s="50"/>
      <c r="Z247" s="50"/>
    </row>
    <row r="248" spans="1:28" ht="15.75">
      <c r="A248" s="4"/>
      <c r="B248" s="28"/>
      <c r="C248" s="49"/>
      <c r="V248" s="50"/>
      <c r="W248" s="50"/>
      <c r="X248" s="50"/>
      <c r="Y248" s="50"/>
      <c r="Z248" s="50"/>
    </row>
    <row r="249" spans="1:28" ht="15.75">
      <c r="A249" s="4"/>
      <c r="B249" s="28"/>
      <c r="C249" s="49"/>
      <c r="V249" s="50"/>
      <c r="W249" s="50"/>
      <c r="X249" s="50"/>
      <c r="Y249" s="50"/>
      <c r="Z249" s="50"/>
    </row>
    <row r="250" spans="1:28" ht="15.75">
      <c r="A250" s="106"/>
      <c r="B250" s="49"/>
      <c r="C250" s="49"/>
      <c r="D250" s="39"/>
      <c r="E250" s="39"/>
      <c r="V250" s="50"/>
      <c r="W250" s="50"/>
      <c r="X250" s="50"/>
      <c r="Y250" s="50"/>
      <c r="Z250" s="50"/>
    </row>
    <row r="251" spans="1:28">
      <c r="V251" s="50"/>
      <c r="W251" s="50"/>
      <c r="X251" s="50"/>
      <c r="Y251" s="50"/>
      <c r="Z251" s="50"/>
    </row>
    <row r="252" spans="1:28">
      <c r="V252" s="224" t="s">
        <v>687</v>
      </c>
      <c r="W252" s="224"/>
      <c r="X252" s="224"/>
      <c r="Y252" s="224"/>
      <c r="Z252" s="224"/>
    </row>
    <row r="253" spans="1:28" ht="45.75" customHeight="1">
      <c r="A253" s="4" t="s">
        <v>382</v>
      </c>
      <c r="O253" s="2" t="s">
        <v>389</v>
      </c>
      <c r="V253" s="226">
        <v>2005</v>
      </c>
      <c r="W253" s="226">
        <v>2010</v>
      </c>
      <c r="X253" s="226">
        <v>2011</v>
      </c>
      <c r="Y253" s="226">
        <v>2013</v>
      </c>
      <c r="Z253" s="322" t="s">
        <v>1030</v>
      </c>
      <c r="AA253" s="322"/>
      <c r="AB253" s="322"/>
    </row>
    <row r="254" spans="1:28" ht="51">
      <c r="B254" s="41" t="s">
        <v>58</v>
      </c>
      <c r="C254" s="41"/>
      <c r="D254" s="41" t="s">
        <v>181</v>
      </c>
      <c r="E254" s="2" t="s">
        <v>170</v>
      </c>
      <c r="F254" s="41" t="s">
        <v>514</v>
      </c>
      <c r="G254" s="2" t="s">
        <v>170</v>
      </c>
      <c r="H254" s="41" t="s">
        <v>689</v>
      </c>
      <c r="I254" s="42" t="s">
        <v>719</v>
      </c>
      <c r="J254" s="42" t="s">
        <v>823</v>
      </c>
      <c r="K254" s="42" t="s">
        <v>922</v>
      </c>
      <c r="L254" s="42" t="s">
        <v>824</v>
      </c>
      <c r="M254" s="42" t="s">
        <v>923</v>
      </c>
      <c r="N254" s="42"/>
      <c r="O254" s="41" t="s">
        <v>58</v>
      </c>
      <c r="P254" s="41" t="s">
        <v>181</v>
      </c>
      <c r="Q254" s="41" t="s">
        <v>514</v>
      </c>
      <c r="R254" s="41" t="s">
        <v>689</v>
      </c>
      <c r="S254" s="41" t="s">
        <v>823</v>
      </c>
      <c r="T254" s="41" t="s">
        <v>824</v>
      </c>
      <c r="V254" s="231">
        <v>4195764</v>
      </c>
      <c r="W254" s="231">
        <v>4465924</v>
      </c>
      <c r="X254" s="231">
        <v>4499139</v>
      </c>
      <c r="Y254" s="231">
        <v>4582607</v>
      </c>
      <c r="Z254" s="50" t="s">
        <v>170</v>
      </c>
    </row>
    <row r="255" spans="1:28">
      <c r="A255" s="2" t="s">
        <v>11</v>
      </c>
      <c r="B255" s="9">
        <f>B13</f>
        <v>222.29999999999998</v>
      </c>
      <c r="C255" s="9"/>
      <c r="D255" s="9">
        <f>B56</f>
        <v>270.40199999999999</v>
      </c>
      <c r="E255" s="29">
        <f>(D255-B255)/B255</f>
        <v>0.21638326585695011</v>
      </c>
      <c r="F255" s="9">
        <f>B97</f>
        <v>291.32320000000004</v>
      </c>
      <c r="G255" s="29">
        <f>(F255-B255)/B255</f>
        <v>0.31049572649572676</v>
      </c>
      <c r="H255" s="9">
        <f>B138</f>
        <v>302.40826000000004</v>
      </c>
      <c r="I255" s="29">
        <f>(H255-B255)/B255</f>
        <v>0.36036104363472815</v>
      </c>
      <c r="J255" s="19">
        <f>B178</f>
        <v>314.98687999999999</v>
      </c>
      <c r="K255" s="29">
        <f>(J255-B255)/B255</f>
        <v>0.41694502923976612</v>
      </c>
      <c r="L255" s="9">
        <f>B220</f>
        <v>327.81124999999997</v>
      </c>
      <c r="M255" s="29">
        <f>(L255-B255)/B255</f>
        <v>0.47463450292397658</v>
      </c>
      <c r="N255" s="29"/>
      <c r="O255" s="29">
        <f>B255/$B$264</f>
        <v>7.212254408624337E-2</v>
      </c>
      <c r="P255" s="29">
        <f>D255/$D$264</f>
        <v>7.3632063084348054E-2</v>
      </c>
      <c r="Q255" s="29">
        <f>F255/$F$264</f>
        <v>7.65400614983128E-2</v>
      </c>
      <c r="R255" s="29">
        <f>H255/$H$264</f>
        <v>7.6280614245783446E-2</v>
      </c>
      <c r="S255" s="29">
        <f>J255/$J$264</f>
        <v>7.5458414347903083E-2</v>
      </c>
      <c r="T255" s="29">
        <f>L255/$L$264</f>
        <v>7.6114219188774021E-2</v>
      </c>
      <c r="V255" s="225">
        <f>B255*1000000/$V$254</f>
        <v>52.982007567632493</v>
      </c>
      <c r="W255" s="225">
        <f>F255*1000000/$W$254</f>
        <v>65.23245805347338</v>
      </c>
      <c r="X255" s="225">
        <f>H255*1000000/$X$254</f>
        <v>67.214695967383989</v>
      </c>
      <c r="Y255" s="225">
        <f>L255*1000000/$Y$254</f>
        <v>71.533790700358992</v>
      </c>
      <c r="Z255" s="238">
        <f>(Y255-V255)/V255</f>
        <v>0.35015251373864631</v>
      </c>
    </row>
    <row r="256" spans="1:28">
      <c r="A256" s="2" t="s">
        <v>5</v>
      </c>
      <c r="B256" s="9">
        <f>B16</f>
        <v>505.9</v>
      </c>
      <c r="C256" s="9"/>
      <c r="D256" s="9">
        <f>B59</f>
        <v>603.4</v>
      </c>
      <c r="E256" s="29">
        <f t="shared" ref="E256:E269" si="0">(D256-B256)/B256</f>
        <v>0.19272583514528563</v>
      </c>
      <c r="F256" s="9">
        <f>B100</f>
        <v>638</v>
      </c>
      <c r="G256" s="29">
        <f t="shared" ref="G256:G264" si="1">(F256-B256)/B256</f>
        <v>0.26111879818145883</v>
      </c>
      <c r="H256" s="9">
        <f>B141</f>
        <v>687</v>
      </c>
      <c r="I256" s="29">
        <f t="shared" ref="I256:I264" si="2">(H256-B256)/B256</f>
        <v>0.3579758845621665</v>
      </c>
      <c r="J256" s="19">
        <f>B181</f>
        <v>711</v>
      </c>
      <c r="K256" s="29">
        <f t="shared" ref="K256:K264" si="3">(J256-B256)/B256</f>
        <v>0.40541609013639063</v>
      </c>
      <c r="L256" s="9">
        <f>B223</f>
        <v>725.8</v>
      </c>
      <c r="M256" s="29">
        <f t="shared" ref="M256:M264" si="4">(L256-B256)/B256</f>
        <v>0.43467088357382877</v>
      </c>
      <c r="N256" s="29"/>
      <c r="O256" s="29">
        <f t="shared" ref="O256:O264" si="5">B256/$B$264</f>
        <v>0.16413313114363709</v>
      </c>
      <c r="P256" s="29">
        <f t="shared" ref="P256:P264" si="6">D256/$D$264</f>
        <v>0.16430938700562722</v>
      </c>
      <c r="Q256" s="29">
        <f t="shared" ref="Q256:Q264" si="7">F256/$F$264</f>
        <v>0.16762331059086114</v>
      </c>
      <c r="R256" s="29">
        <f t="shared" ref="R256:R264" si="8">H256/$H$264</f>
        <v>0.17329150330369025</v>
      </c>
      <c r="S256" s="29">
        <f t="shared" ref="S256:S264" si="9">J256/$J$264</f>
        <v>0.17032751523288553</v>
      </c>
      <c r="T256" s="29">
        <f t="shared" ref="T256:T264" si="10">L256/$L$264</f>
        <v>0.16852289324180358</v>
      </c>
      <c r="V256" s="225">
        <f t="shared" ref="V256:V269" si="11">B256*1000000/$V$254</f>
        <v>120.57398843214251</v>
      </c>
      <c r="W256" s="225">
        <f t="shared" ref="W256:W269" si="12">F256*1000000/$W$254</f>
        <v>142.85957396498463</v>
      </c>
      <c r="X256" s="225">
        <f t="shared" ref="X256:X263" si="13">H256*1000000/$X$254</f>
        <v>152.69588247884761</v>
      </c>
      <c r="Y256" s="225">
        <f t="shared" ref="Y256:Y264" si="14">L256*1000000/$Y$254</f>
        <v>158.38146277871962</v>
      </c>
      <c r="Z256" s="238">
        <f t="shared" ref="Z256:Z264" si="15">(Y256-V256)/V256</f>
        <v>0.31356244276396866</v>
      </c>
    </row>
    <row r="257" spans="1:26">
      <c r="A257" s="2" t="s">
        <v>6</v>
      </c>
      <c r="B257" s="9">
        <f>B18</f>
        <v>131.4</v>
      </c>
      <c r="C257" s="9"/>
      <c r="D257" s="9">
        <f>B61</f>
        <v>165.7</v>
      </c>
      <c r="E257" s="29">
        <f t="shared" si="0"/>
        <v>0.26103500761034992</v>
      </c>
      <c r="F257" s="9">
        <f>B102</f>
        <v>165.3</v>
      </c>
      <c r="G257" s="29">
        <f t="shared" si="1"/>
        <v>0.25799086757990869</v>
      </c>
      <c r="H257" s="9">
        <f>B143</f>
        <v>164.7</v>
      </c>
      <c r="I257" s="29">
        <f t="shared" si="2"/>
        <v>0.25342465753424642</v>
      </c>
      <c r="J257" s="19">
        <f>B183</f>
        <v>176.1</v>
      </c>
      <c r="K257" s="29">
        <f t="shared" si="3"/>
        <v>0.34018264840182638</v>
      </c>
      <c r="L257" s="9">
        <f>B225</f>
        <v>184.6</v>
      </c>
      <c r="M257" s="29">
        <f t="shared" si="4"/>
        <v>0.40487062404870616</v>
      </c>
      <c r="N257" s="29"/>
      <c r="O257" s="29">
        <f t="shared" si="5"/>
        <v>4.2631139419398924E-2</v>
      </c>
      <c r="P257" s="29">
        <f t="shared" si="6"/>
        <v>4.5121089537342444E-2</v>
      </c>
      <c r="Q257" s="29">
        <f t="shared" si="7"/>
        <v>4.3429675925814031E-2</v>
      </c>
      <c r="R257" s="29">
        <f t="shared" si="8"/>
        <v>4.1544556905557181E-2</v>
      </c>
      <c r="S257" s="29">
        <f t="shared" si="9"/>
        <v>4.2186603983841268E-2</v>
      </c>
      <c r="T257" s="29">
        <f t="shared" si="10"/>
        <v>4.286211916841684E-2</v>
      </c>
      <c r="V257" s="225">
        <f t="shared" si="11"/>
        <v>31.317300019734191</v>
      </c>
      <c r="W257" s="225">
        <f t="shared" si="12"/>
        <v>37.013616890927835</v>
      </c>
      <c r="X257" s="225">
        <f t="shared" si="13"/>
        <v>36.607004140125476</v>
      </c>
      <c r="Y257" s="225">
        <f t="shared" si="14"/>
        <v>40.282747353198737</v>
      </c>
      <c r="Z257" s="238">
        <f t="shared" si="15"/>
        <v>0.28627778664875597</v>
      </c>
    </row>
    <row r="258" spans="1:26">
      <c r="A258" s="2" t="s">
        <v>478</v>
      </c>
      <c r="B258" s="9">
        <f>B21</f>
        <v>329.54400000000004</v>
      </c>
      <c r="C258" s="9"/>
      <c r="D258" s="9">
        <f>B64</f>
        <v>389.79840000000002</v>
      </c>
      <c r="E258" s="29">
        <f t="shared" si="0"/>
        <v>0.1828417449566673</v>
      </c>
      <c r="F258" s="9">
        <f>B105</f>
        <v>371.4</v>
      </c>
      <c r="G258" s="29">
        <f t="shared" si="1"/>
        <v>0.12701187094894742</v>
      </c>
      <c r="H258" s="9">
        <f>B146</f>
        <v>356.2</v>
      </c>
      <c r="I258" s="29">
        <f t="shared" si="2"/>
        <v>8.0887529434612512E-2</v>
      </c>
      <c r="J258" s="19">
        <f>B188</f>
        <v>356.2</v>
      </c>
      <c r="K258" s="29">
        <f t="shared" si="3"/>
        <v>8.0887529434612512E-2</v>
      </c>
      <c r="L258" s="9">
        <f>B230</f>
        <v>356.2</v>
      </c>
      <c r="M258" s="29">
        <f t="shared" si="4"/>
        <v>8.0887529434612512E-2</v>
      </c>
      <c r="N258" s="29"/>
      <c r="O258" s="29">
        <f t="shared" si="5"/>
        <v>0.10691656171100761</v>
      </c>
      <c r="P258" s="29">
        <f t="shared" si="6"/>
        <v>0.10614440861745822</v>
      </c>
      <c r="Q258" s="29">
        <f t="shared" si="7"/>
        <v>9.7578836290667437E-2</v>
      </c>
      <c r="R258" s="29">
        <f t="shared" si="8"/>
        <v>8.9849248146687724E-2</v>
      </c>
      <c r="S258" s="29">
        <f t="shared" si="9"/>
        <v>8.5331449966179779E-2</v>
      </c>
      <c r="T258" s="29">
        <f t="shared" si="10"/>
        <v>8.2705779240466307E-2</v>
      </c>
      <c r="V258" s="225">
        <f t="shared" si="11"/>
        <v>78.542072433053917</v>
      </c>
      <c r="W258" s="225">
        <f t="shared" si="12"/>
        <v>83.163081145133688</v>
      </c>
      <c r="X258" s="225">
        <f t="shared" si="13"/>
        <v>79.170703550168156</v>
      </c>
      <c r="Y258" s="225">
        <f t="shared" si="14"/>
        <v>77.728681512510235</v>
      </c>
      <c r="Z258" s="238">
        <f t="shared" si="15"/>
        <v>-1.0356117369286171E-2</v>
      </c>
    </row>
    <row r="259" spans="1:26">
      <c r="A259" s="107" t="s">
        <v>359</v>
      </c>
      <c r="B259" s="9">
        <f>B25</f>
        <v>576.1</v>
      </c>
      <c r="C259" s="9"/>
      <c r="D259" s="9">
        <f>B67</f>
        <v>732.3</v>
      </c>
      <c r="E259" s="29">
        <f t="shared" si="0"/>
        <v>0.27113348377017865</v>
      </c>
      <c r="F259" s="9">
        <f>B108</f>
        <v>777.1</v>
      </c>
      <c r="G259" s="29">
        <f t="shared" si="1"/>
        <v>0.34889776080541574</v>
      </c>
      <c r="H259" s="9">
        <f>B149</f>
        <v>823.6</v>
      </c>
      <c r="I259" s="29">
        <f t="shared" si="2"/>
        <v>0.42961291442457905</v>
      </c>
      <c r="J259" s="19">
        <f>B191</f>
        <v>871.6</v>
      </c>
      <c r="K259" s="29">
        <f t="shared" si="3"/>
        <v>0.51293178267661865</v>
      </c>
      <c r="L259" s="9">
        <f>B233</f>
        <v>905.5</v>
      </c>
      <c r="M259" s="29">
        <f t="shared" si="4"/>
        <v>0.57177573337962151</v>
      </c>
      <c r="N259" s="29"/>
      <c r="O259" s="131">
        <f t="shared" si="5"/>
        <v>0.18690867138139816</v>
      </c>
      <c r="P259" s="131">
        <f t="shared" si="6"/>
        <v>0.1994096189993716</v>
      </c>
      <c r="Q259" s="131">
        <f t="shared" si="7"/>
        <v>0.20416939601905673</v>
      </c>
      <c r="R259" s="29">
        <f t="shared" si="8"/>
        <v>0.20774800890963507</v>
      </c>
      <c r="S259" s="29">
        <f t="shared" si="9"/>
        <v>0.20880093147254999</v>
      </c>
      <c r="T259" s="29">
        <f t="shared" si="10"/>
        <v>0.2102472855200512</v>
      </c>
      <c r="V259" s="225">
        <f t="shared" si="11"/>
        <v>137.30514871665804</v>
      </c>
      <c r="W259" s="225">
        <f t="shared" si="12"/>
        <v>174.00654377459176</v>
      </c>
      <c r="X259" s="225">
        <f t="shared" si="13"/>
        <v>183.05724717551513</v>
      </c>
      <c r="Y259" s="225">
        <f t="shared" si="14"/>
        <v>197.59494977422241</v>
      </c>
      <c r="Z259" s="238">
        <f t="shared" si="15"/>
        <v>0.43909351995224882</v>
      </c>
    </row>
    <row r="260" spans="1:26">
      <c r="A260" s="2" t="s">
        <v>327</v>
      </c>
      <c r="B260" s="9">
        <f>B28</f>
        <v>51.81</v>
      </c>
      <c r="C260" s="9"/>
      <c r="D260" s="9">
        <f>B68</f>
        <v>54.34</v>
      </c>
      <c r="E260" s="29">
        <f t="shared" si="0"/>
        <v>4.8832271762208085E-2</v>
      </c>
      <c r="F260" s="9">
        <f>B109</f>
        <v>55.33</v>
      </c>
      <c r="G260" s="29">
        <f t="shared" si="1"/>
        <v>6.7940552016985054E-2</v>
      </c>
      <c r="H260" s="9">
        <f>B150</f>
        <v>55.110000000000007</v>
      </c>
      <c r="I260" s="29">
        <f t="shared" si="2"/>
        <v>6.369426751592365E-2</v>
      </c>
      <c r="J260" s="19">
        <f>B192</f>
        <v>58.823999999999998</v>
      </c>
      <c r="K260" s="29">
        <f t="shared" si="3"/>
        <v>0.13537927041111747</v>
      </c>
      <c r="L260" s="9">
        <f>B234</f>
        <v>62.421999999999997</v>
      </c>
      <c r="M260" s="29">
        <f t="shared" si="4"/>
        <v>0.20482532329666076</v>
      </c>
      <c r="N260" s="29"/>
      <c r="O260" s="29">
        <f t="shared" si="5"/>
        <v>1.6809127346415969E-2</v>
      </c>
      <c r="P260" s="29">
        <f t="shared" si="6"/>
        <v>1.479710323149782E-2</v>
      </c>
      <c r="Q260" s="29">
        <f t="shared" si="7"/>
        <v>1.4536987108138475E-2</v>
      </c>
      <c r="R260" s="29">
        <f t="shared" si="8"/>
        <v>1.3901156837068954E-2</v>
      </c>
      <c r="S260" s="29">
        <f t="shared" si="9"/>
        <v>1.4091906829900504E-2</v>
      </c>
      <c r="T260" s="29">
        <f t="shared" si="10"/>
        <v>1.4493711824111138E-2</v>
      </c>
      <c r="V260" s="225">
        <f t="shared" si="11"/>
        <v>12.34816829545227</v>
      </c>
      <c r="W260" s="225">
        <f t="shared" si="12"/>
        <v>12.38937339730815</v>
      </c>
      <c r="X260" s="225">
        <f t="shared" si="13"/>
        <v>12.249010310639438</v>
      </c>
      <c r="Y260" s="225">
        <f t="shared" si="14"/>
        <v>13.621504091448383</v>
      </c>
      <c r="Z260" s="238">
        <f t="shared" si="15"/>
        <v>0.10311940731040022</v>
      </c>
    </row>
    <row r="261" spans="1:26">
      <c r="A261" s="2" t="s">
        <v>491</v>
      </c>
      <c r="B261" s="9">
        <f>B259+B260</f>
        <v>627.91000000000008</v>
      </c>
      <c r="C261" s="9"/>
      <c r="D261" s="9">
        <f>D259+D260</f>
        <v>786.64</v>
      </c>
      <c r="E261" s="29">
        <f t="shared" si="0"/>
        <v>0.25279100508034574</v>
      </c>
      <c r="F261" s="9">
        <f>B110</f>
        <v>832.43000000000006</v>
      </c>
      <c r="G261" s="29">
        <f t="shared" si="1"/>
        <v>0.32571546877737251</v>
      </c>
      <c r="H261" s="9">
        <f>B151</f>
        <v>878.71</v>
      </c>
      <c r="I261" s="29">
        <f t="shared" si="2"/>
        <v>0.39942029908744869</v>
      </c>
      <c r="J261" s="19">
        <f>B235</f>
        <v>967.92200000000003</v>
      </c>
      <c r="K261" s="29">
        <f t="shared" si="3"/>
        <v>0.54149798538007021</v>
      </c>
      <c r="L261" s="9">
        <f>B235</f>
        <v>967.92200000000003</v>
      </c>
      <c r="M261" s="29">
        <f t="shared" si="4"/>
        <v>0.54149798538007021</v>
      </c>
      <c r="N261" s="29"/>
      <c r="O261" s="29">
        <f>B261/$B$264</f>
        <v>0.20371779872781415</v>
      </c>
      <c r="P261" s="29">
        <f>D261/$D$264</f>
        <v>0.21420672223086942</v>
      </c>
      <c r="Q261" s="29">
        <f t="shared" si="7"/>
        <v>0.21870638312719523</v>
      </c>
      <c r="R261" s="29">
        <f t="shared" si="8"/>
        <v>0.22164916574670401</v>
      </c>
      <c r="S261" s="29">
        <f t="shared" si="9"/>
        <v>0.23187587791736292</v>
      </c>
      <c r="T261" s="29">
        <f t="shared" si="10"/>
        <v>0.22474099734416234</v>
      </c>
      <c r="V261" s="225">
        <f t="shared" si="11"/>
        <v>149.65331701211034</v>
      </c>
      <c r="W261" s="225">
        <f t="shared" si="12"/>
        <v>186.39591717189995</v>
      </c>
      <c r="X261" s="225">
        <f t="shared" si="13"/>
        <v>195.30625748615458</v>
      </c>
      <c r="Y261" s="225">
        <f t="shared" si="14"/>
        <v>211.21645386567079</v>
      </c>
      <c r="Z261" s="238">
        <f t="shared" si="15"/>
        <v>0.41137168278454261</v>
      </c>
    </row>
    <row r="262" spans="1:26">
      <c r="A262" s="2" t="s">
        <v>369</v>
      </c>
      <c r="B262" s="9">
        <f>B32</f>
        <v>642.20000000000005</v>
      </c>
      <c r="C262" s="9"/>
      <c r="D262" s="9">
        <f>B72</f>
        <v>677.4</v>
      </c>
      <c r="E262" s="29">
        <f t="shared" si="0"/>
        <v>5.4811585175957536E-2</v>
      </c>
      <c r="F262" s="9">
        <f>B113</f>
        <v>692.7</v>
      </c>
      <c r="G262" s="29">
        <f t="shared" si="1"/>
        <v>7.8635938959825596E-2</v>
      </c>
      <c r="H262" s="9">
        <f>B156</f>
        <v>742.4</v>
      </c>
      <c r="I262" s="29">
        <f t="shared" si="2"/>
        <v>0.15602616007474296</v>
      </c>
      <c r="J262" s="19">
        <f>B198</f>
        <v>821.6</v>
      </c>
      <c r="K262" s="29">
        <f t="shared" si="3"/>
        <v>0.27935222672064774</v>
      </c>
      <c r="L262" s="9">
        <f>B240</f>
        <v>829.5</v>
      </c>
      <c r="M262" s="29">
        <f t="shared" si="4"/>
        <v>0.29165369043911543</v>
      </c>
      <c r="N262" s="29"/>
      <c r="O262" s="29">
        <f t="shared" si="5"/>
        <v>0.20835401624914757</v>
      </c>
      <c r="P262" s="29">
        <f t="shared" si="6"/>
        <v>0.18446002445742771</v>
      </c>
      <c r="Q262" s="29">
        <f t="shared" si="7"/>
        <v>0.1819947762481027</v>
      </c>
      <c r="R262" s="29">
        <f t="shared" si="8"/>
        <v>0.18726581084812174</v>
      </c>
      <c r="S262" s="29">
        <f t="shared" si="9"/>
        <v>0.19682290649133441</v>
      </c>
      <c r="T262" s="29">
        <f t="shared" si="10"/>
        <v>0.19260090926436496</v>
      </c>
      <c r="V262" s="225">
        <f t="shared" si="11"/>
        <v>153.05913297316056</v>
      </c>
      <c r="W262" s="225">
        <f t="shared" si="12"/>
        <v>155.10787913094805</v>
      </c>
      <c r="X262" s="225">
        <f t="shared" si="13"/>
        <v>165.00934956666154</v>
      </c>
      <c r="Y262" s="225">
        <f t="shared" si="14"/>
        <v>181.01050340995857</v>
      </c>
      <c r="Z262" s="238">
        <f t="shared" si="15"/>
        <v>0.18261811558608126</v>
      </c>
    </row>
    <row r="263" spans="1:26">
      <c r="A263" s="2" t="s">
        <v>180</v>
      </c>
      <c r="B263" s="9">
        <f>B38</f>
        <v>623</v>
      </c>
      <c r="C263" s="9"/>
      <c r="D263" s="9">
        <f>B79</f>
        <v>779</v>
      </c>
      <c r="E263" s="29">
        <f t="shared" si="0"/>
        <v>0.2504012841091493</v>
      </c>
      <c r="F263" s="9">
        <f>B120</f>
        <v>815</v>
      </c>
      <c r="G263" s="29">
        <f t="shared" si="1"/>
        <v>0.30818619582664525</v>
      </c>
      <c r="H263" s="9">
        <f>B161</f>
        <v>833</v>
      </c>
      <c r="I263" s="29">
        <f t="shared" si="2"/>
        <v>0.33707865168539325</v>
      </c>
      <c r="J263" s="19">
        <f>B203</f>
        <v>864</v>
      </c>
      <c r="K263" s="29">
        <f t="shared" si="3"/>
        <v>0.3868378812199037</v>
      </c>
      <c r="L263" s="9">
        <f>B245</f>
        <v>915</v>
      </c>
      <c r="M263" s="29">
        <f t="shared" si="4"/>
        <v>0.46869983948635635</v>
      </c>
      <c r="N263" s="29"/>
      <c r="O263" s="29">
        <f t="shared" si="5"/>
        <v>0.20212480866275134</v>
      </c>
      <c r="P263" s="29">
        <f t="shared" si="6"/>
        <v>0.21212630506692678</v>
      </c>
      <c r="Q263" s="29">
        <f t="shared" si="7"/>
        <v>0.21412695631904677</v>
      </c>
      <c r="R263" s="29">
        <f t="shared" si="8"/>
        <v>0.21011910080345556</v>
      </c>
      <c r="S263" s="29">
        <f t="shared" si="9"/>
        <v>0.20698027167540523</v>
      </c>
      <c r="T263" s="29">
        <f t="shared" si="10"/>
        <v>0.21245308255201198</v>
      </c>
      <c r="V263" s="225">
        <f t="shared" si="11"/>
        <v>148.48308913466059</v>
      </c>
      <c r="W263" s="225">
        <f t="shared" si="12"/>
        <v>182.49302943802894</v>
      </c>
      <c r="X263" s="225">
        <f t="shared" si="13"/>
        <v>185.1465358149637</v>
      </c>
      <c r="Y263" s="225">
        <f t="shared" si="14"/>
        <v>199.66800556975539</v>
      </c>
      <c r="Z263" s="238">
        <f t="shared" si="15"/>
        <v>0.34471882780317675</v>
      </c>
    </row>
    <row r="264" spans="1:26" ht="15.75">
      <c r="B264" s="17">
        <f>SUM(B255:B263)-B261</f>
        <v>3082.2539999999999</v>
      </c>
      <c r="C264" s="17"/>
      <c r="D264" s="17">
        <f>SUM(D255:D263)-D261</f>
        <v>3672.3404000000005</v>
      </c>
      <c r="E264" s="123">
        <f t="shared" si="0"/>
        <v>0.19144638955777188</v>
      </c>
      <c r="F264" s="17">
        <f>SUM(F255:F263)-F261</f>
        <v>3806.1531999999997</v>
      </c>
      <c r="G264" s="123">
        <f t="shared" si="1"/>
        <v>0.23486033273052767</v>
      </c>
      <c r="H264" s="17">
        <f>SUM(H255:H263)-H261</f>
        <v>3964.4182600000004</v>
      </c>
      <c r="I264" s="123">
        <f t="shared" si="2"/>
        <v>0.28620751566872832</v>
      </c>
      <c r="J264" s="17">
        <f>SUM(J255:J263)-J261</f>
        <v>4174.3108800000009</v>
      </c>
      <c r="K264" s="29">
        <f t="shared" si="3"/>
        <v>0.35430463550375829</v>
      </c>
      <c r="L264" s="17">
        <f>SUM(L255:L263)-L261</f>
        <v>4306.8332499999997</v>
      </c>
      <c r="M264" s="29">
        <f t="shared" si="4"/>
        <v>0.39729991428350803</v>
      </c>
      <c r="N264" s="123"/>
      <c r="O264" s="29">
        <f t="shared" si="5"/>
        <v>1</v>
      </c>
      <c r="P264" s="29">
        <f t="shared" si="6"/>
        <v>1</v>
      </c>
      <c r="Q264" s="29">
        <f t="shared" si="7"/>
        <v>1</v>
      </c>
      <c r="R264" s="29">
        <f t="shared" si="8"/>
        <v>1</v>
      </c>
      <c r="S264" s="29">
        <f t="shared" si="9"/>
        <v>1</v>
      </c>
      <c r="T264" s="29">
        <f t="shared" si="10"/>
        <v>1</v>
      </c>
      <c r="V264" s="225">
        <f>B264*1000000/$V$254</f>
        <v>734.61090757249451</v>
      </c>
      <c r="W264" s="225">
        <f>F264*1000000/$W$254</f>
        <v>852.26555579539627</v>
      </c>
      <c r="X264" s="225">
        <f>H264*1000000/$X$254</f>
        <v>881.15042900430512</v>
      </c>
      <c r="Y264" s="225">
        <f t="shared" si="14"/>
        <v>939.82164519017238</v>
      </c>
      <c r="Z264" s="238">
        <f t="shared" si="15"/>
        <v>0.27934616203262241</v>
      </c>
    </row>
    <row r="265" spans="1:26">
      <c r="B265" s="9"/>
      <c r="C265" s="9"/>
      <c r="D265" s="9"/>
      <c r="E265" s="29"/>
      <c r="F265" s="9"/>
      <c r="G265" s="29"/>
      <c r="H265" s="29"/>
      <c r="O265" s="29"/>
      <c r="P265" s="29"/>
      <c r="Q265" s="29"/>
      <c r="R265" s="29"/>
      <c r="S265" s="29"/>
      <c r="T265" s="29"/>
      <c r="V265" s="225"/>
      <c r="W265" s="225"/>
      <c r="X265" s="225"/>
      <c r="Y265" s="225"/>
      <c r="Z265" s="238"/>
    </row>
    <row r="266" spans="1:26">
      <c r="E266" s="41" t="s">
        <v>181</v>
      </c>
      <c r="G266" s="41" t="s">
        <v>514</v>
      </c>
      <c r="H266" s="41"/>
      <c r="I266" s="41" t="s">
        <v>689</v>
      </c>
      <c r="J266" s="41"/>
      <c r="K266" s="42" t="s">
        <v>823</v>
      </c>
      <c r="L266" s="41"/>
      <c r="M266" s="42" t="s">
        <v>824</v>
      </c>
      <c r="N266" s="41"/>
      <c r="V266" s="225"/>
      <c r="W266" s="225"/>
      <c r="X266" s="225"/>
      <c r="Y266" s="225"/>
      <c r="Z266" s="238"/>
    </row>
    <row r="267" spans="1:26" ht="25.5">
      <c r="A267" s="130" t="s">
        <v>494</v>
      </c>
      <c r="B267" s="9">
        <f>B261</f>
        <v>627.91000000000008</v>
      </c>
      <c r="D267" s="9">
        <f>D261</f>
        <v>786.64</v>
      </c>
      <c r="E267" s="29">
        <f t="shared" si="0"/>
        <v>0.25279100508034574</v>
      </c>
      <c r="F267" s="9">
        <f>F261</f>
        <v>832.43000000000006</v>
      </c>
      <c r="G267" s="29">
        <f>(F267-B267)/B267</f>
        <v>0.32571546877737251</v>
      </c>
      <c r="H267" s="9">
        <f>H261</f>
        <v>878.71</v>
      </c>
      <c r="I267" s="29">
        <f>(H267-B267)/B267</f>
        <v>0.39942029908744869</v>
      </c>
      <c r="J267" s="9">
        <f t="shared" ref="J267" si="16">J261</f>
        <v>967.92200000000003</v>
      </c>
      <c r="K267" s="29">
        <f>(J267-B267)/B267</f>
        <v>0.54149798538007021</v>
      </c>
      <c r="L267" s="9">
        <f t="shared" ref="L267" si="17">L261</f>
        <v>967.92200000000003</v>
      </c>
      <c r="M267" s="29">
        <f>(L267-B267)/B267</f>
        <v>0.54149798538007021</v>
      </c>
      <c r="N267" s="29"/>
      <c r="V267" s="225">
        <f t="shared" si="11"/>
        <v>149.65331701211034</v>
      </c>
      <c r="W267" s="225">
        <f t="shared" si="12"/>
        <v>186.39591717189995</v>
      </c>
      <c r="X267" s="225">
        <f>H267*1000000/$X$254</f>
        <v>195.30625748615458</v>
      </c>
      <c r="Y267" s="225">
        <f t="shared" ref="Y267:Y269" si="18">L267*1000000/$Y$254</f>
        <v>211.21645386567079</v>
      </c>
      <c r="Z267" s="238">
        <f t="shared" ref="Z267:Z269" si="19">(Y267-V267)/V267</f>
        <v>0.41137168278454261</v>
      </c>
    </row>
    <row r="268" spans="1:26">
      <c r="A268" s="2" t="s">
        <v>373</v>
      </c>
      <c r="B268" s="9">
        <f>B264</f>
        <v>3082.2539999999999</v>
      </c>
      <c r="D268" s="9">
        <f>D264</f>
        <v>3672.3404000000005</v>
      </c>
      <c r="E268" s="29">
        <f t="shared" si="0"/>
        <v>0.19144638955777188</v>
      </c>
      <c r="F268" s="9">
        <f>F264</f>
        <v>3806.1531999999997</v>
      </c>
      <c r="G268" s="29">
        <f>(F268-B268)/B268</f>
        <v>0.23486033273052767</v>
      </c>
      <c r="H268" s="9">
        <f>H264</f>
        <v>3964.4182600000004</v>
      </c>
      <c r="I268" s="29">
        <f>(H268-B268)/B268</f>
        <v>0.28620751566872832</v>
      </c>
      <c r="J268" s="9">
        <f t="shared" ref="J268" si="20">J264</f>
        <v>4174.3108800000009</v>
      </c>
      <c r="K268" s="29">
        <f t="shared" ref="K268:K269" si="21">(J268-B268)/B268</f>
        <v>0.35430463550375829</v>
      </c>
      <c r="L268" s="9">
        <f t="shared" ref="L268" si="22">L264</f>
        <v>4306.8332499999997</v>
      </c>
      <c r="M268" s="29">
        <f t="shared" ref="M268:M269" si="23">(L268-B268)/B268</f>
        <v>0.39729991428350803</v>
      </c>
      <c r="N268" s="29"/>
      <c r="V268" s="225">
        <f t="shared" si="11"/>
        <v>734.61090757249451</v>
      </c>
      <c r="W268" s="225">
        <f t="shared" si="12"/>
        <v>852.26555579539627</v>
      </c>
      <c r="X268" s="225">
        <f>H268*1000000/$X$254</f>
        <v>881.15042900430512</v>
      </c>
      <c r="Y268" s="225">
        <f t="shared" si="18"/>
        <v>939.82164519017238</v>
      </c>
      <c r="Z268" s="238">
        <f t="shared" si="19"/>
        <v>0.27934616203262241</v>
      </c>
    </row>
    <row r="269" spans="1:26" ht="25.5">
      <c r="A269" s="130" t="s">
        <v>495</v>
      </c>
      <c r="B269" s="9">
        <f>B268-B267</f>
        <v>2454.3440000000001</v>
      </c>
      <c r="D269" s="9">
        <f>D268-D267</f>
        <v>2885.7004000000006</v>
      </c>
      <c r="E269" s="29">
        <f t="shared" si="0"/>
        <v>0.17575221729309362</v>
      </c>
      <c r="F269" s="9">
        <f>F268-F267</f>
        <v>2973.7231999999995</v>
      </c>
      <c r="G269" s="29">
        <f>(F269-B269)/B269</f>
        <v>0.21161630154534139</v>
      </c>
      <c r="H269" s="9">
        <f>H268-H267</f>
        <v>3085.7082600000003</v>
      </c>
      <c r="I269" s="29">
        <f>(H269-B269)/B269</f>
        <v>0.25724358932570179</v>
      </c>
      <c r="J269" s="9">
        <f t="shared" ref="J269" si="24">J268-J267</f>
        <v>3206.3888800000009</v>
      </c>
      <c r="K269" s="29">
        <f t="shared" si="21"/>
        <v>0.30641380344401631</v>
      </c>
      <c r="L269" s="9">
        <f t="shared" ref="L269" si="25">L268-L267</f>
        <v>3338.9112499999997</v>
      </c>
      <c r="M269" s="29">
        <f t="shared" si="23"/>
        <v>0.36040883022102832</v>
      </c>
      <c r="N269" s="29"/>
      <c r="V269" s="225">
        <f t="shared" si="11"/>
        <v>584.95759056038423</v>
      </c>
      <c r="W269" s="225">
        <f t="shared" si="12"/>
        <v>665.86963862349637</v>
      </c>
      <c r="X269" s="225">
        <f>H269*1000000/$X$254</f>
        <v>685.84417151815057</v>
      </c>
      <c r="Y269" s="225">
        <f t="shared" si="18"/>
        <v>728.60519132450145</v>
      </c>
      <c r="Z269" s="238">
        <f t="shared" si="19"/>
        <v>0.24556925678407571</v>
      </c>
    </row>
    <row r="272" spans="1:26">
      <c r="A272" s="52" t="s">
        <v>384</v>
      </c>
    </row>
    <row r="274" spans="1:5">
      <c r="A274" s="39" t="s">
        <v>396</v>
      </c>
      <c r="B274" s="39"/>
      <c r="C274" s="39"/>
      <c r="D274" s="39"/>
      <c r="E274" s="39"/>
    </row>
    <row r="275" spans="1:5">
      <c r="A275" s="106" t="s">
        <v>472</v>
      </c>
      <c r="B275" s="39"/>
      <c r="C275" s="39"/>
      <c r="D275" s="39"/>
      <c r="E275" s="39"/>
    </row>
    <row r="276" spans="1:5">
      <c r="A276" s="106" t="s">
        <v>473</v>
      </c>
      <c r="B276" s="39"/>
      <c r="C276" s="39"/>
      <c r="D276" s="39"/>
      <c r="E276" s="39"/>
    </row>
    <row r="277" spans="1:5">
      <c r="A277" s="106" t="s">
        <v>541</v>
      </c>
      <c r="B277" s="39"/>
      <c r="C277" s="39"/>
      <c r="D277" s="39"/>
      <c r="E277" s="39"/>
    </row>
    <row r="278" spans="1:5">
      <c r="A278" s="106" t="s">
        <v>673</v>
      </c>
      <c r="B278" s="39"/>
      <c r="C278" s="39"/>
      <c r="D278" s="39"/>
      <c r="E278" s="39"/>
    </row>
    <row r="279" spans="1:5">
      <c r="A279" s="52" t="s">
        <v>760</v>
      </c>
    </row>
    <row r="280" spans="1:5">
      <c r="A280" s="274" t="s">
        <v>773</v>
      </c>
    </row>
    <row r="281" spans="1:5">
      <c r="A281" s="274" t="s">
        <v>791</v>
      </c>
    </row>
    <row r="282" spans="1:5">
      <c r="A282" s="283" t="s">
        <v>821</v>
      </c>
      <c r="B282" s="136"/>
      <c r="C282" s="136"/>
      <c r="D282" s="136"/>
    </row>
  </sheetData>
  <mergeCells count="4">
    <mergeCell ref="E142:P142"/>
    <mergeCell ref="Z253:AB253"/>
    <mergeCell ref="E182:M182"/>
    <mergeCell ref="E224:N224"/>
  </mergeCells>
  <hyperlinks>
    <hyperlink ref="V18" r:id="rId1"/>
    <hyperlink ref="V61" r:id="rId2"/>
    <hyperlink ref="T102" r:id="rId3"/>
    <hyperlink ref="T96" r:id="rId4"/>
    <hyperlink ref="T154" r:id="rId5"/>
  </hyperlinks>
  <pageMargins left="0.70866141732283472" right="0.70866141732283472" top="0.74803149606299213" bottom="0.74803149606299213" header="0.31496062992125984" footer="0.31496062992125984"/>
  <pageSetup scale="80" fitToHeight="2" orientation="landscape" verticalDpi="0" r:id="rId6"/>
  <legacyDrawing r:id="rId7"/>
</worksheet>
</file>

<file path=xl/worksheets/sheet31.xml><?xml version="1.0" encoding="utf-8"?>
<worksheet xmlns="http://schemas.openxmlformats.org/spreadsheetml/2006/main" xmlns:r="http://schemas.openxmlformats.org/officeDocument/2006/relationships">
  <sheetPr>
    <tabColor rgb="FFFF0000"/>
  </sheetPr>
  <dimension ref="A1:AB294"/>
  <sheetViews>
    <sheetView topLeftCell="A255" workbookViewId="0">
      <selection activeCell="A261" sqref="A261:L271"/>
    </sheetView>
  </sheetViews>
  <sheetFormatPr defaultRowHeight="12.75"/>
  <cols>
    <col min="1" max="1" width="35.42578125" customWidth="1"/>
    <col min="2" max="2" width="10.140625" customWidth="1"/>
    <col min="3" max="3" width="2.7109375" customWidth="1"/>
    <col min="4" max="4" width="14" customWidth="1"/>
    <col min="8" max="8" width="10.28515625" bestFit="1" customWidth="1"/>
    <col min="10" max="10" width="10.28515625" bestFit="1" customWidth="1"/>
    <col min="12" max="12" width="10.28515625" bestFit="1" customWidth="1"/>
    <col min="22" max="22" width="10" customWidth="1"/>
    <col min="268" max="268" width="35.42578125" customWidth="1"/>
    <col min="269" max="269" width="10.140625" customWidth="1"/>
    <col min="270" max="270" width="14" customWidth="1"/>
    <col min="271" max="271" width="10.140625" customWidth="1"/>
    <col min="272" max="272" width="14" customWidth="1"/>
    <col min="280" max="280" width="10" customWidth="1"/>
    <col min="524" max="524" width="35.42578125" customWidth="1"/>
    <col min="525" max="525" width="10.140625" customWidth="1"/>
    <col min="526" max="526" width="14" customWidth="1"/>
    <col min="527" max="527" width="10.140625" customWidth="1"/>
    <col min="528" max="528" width="14" customWidth="1"/>
    <col min="536" max="536" width="10" customWidth="1"/>
    <col min="780" max="780" width="35.42578125" customWidth="1"/>
    <col min="781" max="781" width="10.140625" customWidth="1"/>
    <col min="782" max="782" width="14" customWidth="1"/>
    <col min="783" max="783" width="10.140625" customWidth="1"/>
    <col min="784" max="784" width="14" customWidth="1"/>
    <col min="792" max="792" width="10" customWidth="1"/>
    <col min="1036" max="1036" width="35.42578125" customWidth="1"/>
    <col min="1037" max="1037" width="10.140625" customWidth="1"/>
    <col min="1038" max="1038" width="14" customWidth="1"/>
    <col min="1039" max="1039" width="10.140625" customWidth="1"/>
    <col min="1040" max="1040" width="14" customWidth="1"/>
    <col min="1048" max="1048" width="10" customWidth="1"/>
    <col min="1292" max="1292" width="35.42578125" customWidth="1"/>
    <col min="1293" max="1293" width="10.140625" customWidth="1"/>
    <col min="1294" max="1294" width="14" customWidth="1"/>
    <col min="1295" max="1295" width="10.140625" customWidth="1"/>
    <col min="1296" max="1296" width="14" customWidth="1"/>
    <col min="1304" max="1304" width="10" customWidth="1"/>
    <col min="1548" max="1548" width="35.42578125" customWidth="1"/>
    <col min="1549" max="1549" width="10.140625" customWidth="1"/>
    <col min="1550" max="1550" width="14" customWidth="1"/>
    <col min="1551" max="1551" width="10.140625" customWidth="1"/>
    <col min="1552" max="1552" width="14" customWidth="1"/>
    <col min="1560" max="1560" width="10" customWidth="1"/>
    <col min="1804" max="1804" width="35.42578125" customWidth="1"/>
    <col min="1805" max="1805" width="10.140625" customWidth="1"/>
    <col min="1806" max="1806" width="14" customWidth="1"/>
    <col min="1807" max="1807" width="10.140625" customWidth="1"/>
    <col min="1808" max="1808" width="14" customWidth="1"/>
    <col min="1816" max="1816" width="10" customWidth="1"/>
    <col min="2060" max="2060" width="35.42578125" customWidth="1"/>
    <col min="2061" max="2061" width="10.140625" customWidth="1"/>
    <col min="2062" max="2062" width="14" customWidth="1"/>
    <col min="2063" max="2063" width="10.140625" customWidth="1"/>
    <col min="2064" max="2064" width="14" customWidth="1"/>
    <col min="2072" max="2072" width="10" customWidth="1"/>
    <col min="2316" max="2316" width="35.42578125" customWidth="1"/>
    <col min="2317" max="2317" width="10.140625" customWidth="1"/>
    <col min="2318" max="2318" width="14" customWidth="1"/>
    <col min="2319" max="2319" width="10.140625" customWidth="1"/>
    <col min="2320" max="2320" width="14" customWidth="1"/>
    <col min="2328" max="2328" width="10" customWidth="1"/>
    <col min="2572" max="2572" width="35.42578125" customWidth="1"/>
    <col min="2573" max="2573" width="10.140625" customWidth="1"/>
    <col min="2574" max="2574" width="14" customWidth="1"/>
    <col min="2575" max="2575" width="10.140625" customWidth="1"/>
    <col min="2576" max="2576" width="14" customWidth="1"/>
    <col min="2584" max="2584" width="10" customWidth="1"/>
    <col min="2828" max="2828" width="35.42578125" customWidth="1"/>
    <col min="2829" max="2829" width="10.140625" customWidth="1"/>
    <col min="2830" max="2830" width="14" customWidth="1"/>
    <col min="2831" max="2831" width="10.140625" customWidth="1"/>
    <col min="2832" max="2832" width="14" customWidth="1"/>
    <col min="2840" max="2840" width="10" customWidth="1"/>
    <col min="3084" max="3084" width="35.42578125" customWidth="1"/>
    <col min="3085" max="3085" width="10.140625" customWidth="1"/>
    <col min="3086" max="3086" width="14" customWidth="1"/>
    <col min="3087" max="3087" width="10.140625" customWidth="1"/>
    <col min="3088" max="3088" width="14" customWidth="1"/>
    <col min="3096" max="3096" width="10" customWidth="1"/>
    <col min="3340" max="3340" width="35.42578125" customWidth="1"/>
    <col min="3341" max="3341" width="10.140625" customWidth="1"/>
    <col min="3342" max="3342" width="14" customWidth="1"/>
    <col min="3343" max="3343" width="10.140625" customWidth="1"/>
    <col min="3344" max="3344" width="14" customWidth="1"/>
    <col min="3352" max="3352" width="10" customWidth="1"/>
    <col min="3596" max="3596" width="35.42578125" customWidth="1"/>
    <col min="3597" max="3597" width="10.140625" customWidth="1"/>
    <col min="3598" max="3598" width="14" customWidth="1"/>
    <col min="3599" max="3599" width="10.140625" customWidth="1"/>
    <col min="3600" max="3600" width="14" customWidth="1"/>
    <col min="3608" max="3608" width="10" customWidth="1"/>
    <col min="3852" max="3852" width="35.42578125" customWidth="1"/>
    <col min="3853" max="3853" width="10.140625" customWidth="1"/>
    <col min="3854" max="3854" width="14" customWidth="1"/>
    <col min="3855" max="3855" width="10.140625" customWidth="1"/>
    <col min="3856" max="3856" width="14" customWidth="1"/>
    <col min="3864" max="3864" width="10" customWidth="1"/>
    <col min="4108" max="4108" width="35.42578125" customWidth="1"/>
    <col min="4109" max="4109" width="10.140625" customWidth="1"/>
    <col min="4110" max="4110" width="14" customWidth="1"/>
    <col min="4111" max="4111" width="10.140625" customWidth="1"/>
    <col min="4112" max="4112" width="14" customWidth="1"/>
    <col min="4120" max="4120" width="10" customWidth="1"/>
    <col min="4364" max="4364" width="35.42578125" customWidth="1"/>
    <col min="4365" max="4365" width="10.140625" customWidth="1"/>
    <col min="4366" max="4366" width="14" customWidth="1"/>
    <col min="4367" max="4367" width="10.140625" customWidth="1"/>
    <col min="4368" max="4368" width="14" customWidth="1"/>
    <col min="4376" max="4376" width="10" customWidth="1"/>
    <col min="4620" max="4620" width="35.42578125" customWidth="1"/>
    <col min="4621" max="4621" width="10.140625" customWidth="1"/>
    <col min="4622" max="4622" width="14" customWidth="1"/>
    <col min="4623" max="4623" width="10.140625" customWidth="1"/>
    <col min="4624" max="4624" width="14" customWidth="1"/>
    <col min="4632" max="4632" width="10" customWidth="1"/>
    <col min="4876" max="4876" width="35.42578125" customWidth="1"/>
    <col min="4877" max="4877" width="10.140625" customWidth="1"/>
    <col min="4878" max="4878" width="14" customWidth="1"/>
    <col min="4879" max="4879" width="10.140625" customWidth="1"/>
    <col min="4880" max="4880" width="14" customWidth="1"/>
    <col min="4888" max="4888" width="10" customWidth="1"/>
    <col min="5132" max="5132" width="35.42578125" customWidth="1"/>
    <col min="5133" max="5133" width="10.140625" customWidth="1"/>
    <col min="5134" max="5134" width="14" customWidth="1"/>
    <col min="5135" max="5135" width="10.140625" customWidth="1"/>
    <col min="5136" max="5136" width="14" customWidth="1"/>
    <col min="5144" max="5144" width="10" customWidth="1"/>
    <col min="5388" max="5388" width="35.42578125" customWidth="1"/>
    <col min="5389" max="5389" width="10.140625" customWidth="1"/>
    <col min="5390" max="5390" width="14" customWidth="1"/>
    <col min="5391" max="5391" width="10.140625" customWidth="1"/>
    <col min="5392" max="5392" width="14" customWidth="1"/>
    <col min="5400" max="5400" width="10" customWidth="1"/>
    <col min="5644" max="5644" width="35.42578125" customWidth="1"/>
    <col min="5645" max="5645" width="10.140625" customWidth="1"/>
    <col min="5646" max="5646" width="14" customWidth="1"/>
    <col min="5647" max="5647" width="10.140625" customWidth="1"/>
    <col min="5648" max="5648" width="14" customWidth="1"/>
    <col min="5656" max="5656" width="10" customWidth="1"/>
    <col min="5900" max="5900" width="35.42578125" customWidth="1"/>
    <col min="5901" max="5901" width="10.140625" customWidth="1"/>
    <col min="5902" max="5902" width="14" customWidth="1"/>
    <col min="5903" max="5903" width="10.140625" customWidth="1"/>
    <col min="5904" max="5904" width="14" customWidth="1"/>
    <col min="5912" max="5912" width="10" customWidth="1"/>
    <col min="6156" max="6156" width="35.42578125" customWidth="1"/>
    <col min="6157" max="6157" width="10.140625" customWidth="1"/>
    <col min="6158" max="6158" width="14" customWidth="1"/>
    <col min="6159" max="6159" width="10.140625" customWidth="1"/>
    <col min="6160" max="6160" width="14" customWidth="1"/>
    <col min="6168" max="6168" width="10" customWidth="1"/>
    <col min="6412" max="6412" width="35.42578125" customWidth="1"/>
    <col min="6413" max="6413" width="10.140625" customWidth="1"/>
    <col min="6414" max="6414" width="14" customWidth="1"/>
    <col min="6415" max="6415" width="10.140625" customWidth="1"/>
    <col min="6416" max="6416" width="14" customWidth="1"/>
    <col min="6424" max="6424" width="10" customWidth="1"/>
    <col min="6668" max="6668" width="35.42578125" customWidth="1"/>
    <col min="6669" max="6669" width="10.140625" customWidth="1"/>
    <col min="6670" max="6670" width="14" customWidth="1"/>
    <col min="6671" max="6671" width="10.140625" customWidth="1"/>
    <col min="6672" max="6672" width="14" customWidth="1"/>
    <col min="6680" max="6680" width="10" customWidth="1"/>
    <col min="6924" max="6924" width="35.42578125" customWidth="1"/>
    <col min="6925" max="6925" width="10.140625" customWidth="1"/>
    <col min="6926" max="6926" width="14" customWidth="1"/>
    <col min="6927" max="6927" width="10.140625" customWidth="1"/>
    <col min="6928" max="6928" width="14" customWidth="1"/>
    <col min="6936" max="6936" width="10" customWidth="1"/>
    <col min="7180" max="7180" width="35.42578125" customWidth="1"/>
    <col min="7181" max="7181" width="10.140625" customWidth="1"/>
    <col min="7182" max="7182" width="14" customWidth="1"/>
    <col min="7183" max="7183" width="10.140625" customWidth="1"/>
    <col min="7184" max="7184" width="14" customWidth="1"/>
    <col min="7192" max="7192" width="10" customWidth="1"/>
    <col min="7436" max="7436" width="35.42578125" customWidth="1"/>
    <col min="7437" max="7437" width="10.140625" customWidth="1"/>
    <col min="7438" max="7438" width="14" customWidth="1"/>
    <col min="7439" max="7439" width="10.140625" customWidth="1"/>
    <col min="7440" max="7440" width="14" customWidth="1"/>
    <col min="7448" max="7448" width="10" customWidth="1"/>
    <col min="7692" max="7692" width="35.42578125" customWidth="1"/>
    <col min="7693" max="7693" width="10.140625" customWidth="1"/>
    <col min="7694" max="7694" width="14" customWidth="1"/>
    <col min="7695" max="7695" width="10.140625" customWidth="1"/>
    <col min="7696" max="7696" width="14" customWidth="1"/>
    <col min="7704" max="7704" width="10" customWidth="1"/>
    <col min="7948" max="7948" width="35.42578125" customWidth="1"/>
    <col min="7949" max="7949" width="10.140625" customWidth="1"/>
    <col min="7950" max="7950" width="14" customWidth="1"/>
    <col min="7951" max="7951" width="10.140625" customWidth="1"/>
    <col min="7952" max="7952" width="14" customWidth="1"/>
    <col min="7960" max="7960" width="10" customWidth="1"/>
    <col min="8204" max="8204" width="35.42578125" customWidth="1"/>
    <col min="8205" max="8205" width="10.140625" customWidth="1"/>
    <col min="8206" max="8206" width="14" customWidth="1"/>
    <col min="8207" max="8207" width="10.140625" customWidth="1"/>
    <col min="8208" max="8208" width="14" customWidth="1"/>
    <col min="8216" max="8216" width="10" customWidth="1"/>
    <col min="8460" max="8460" width="35.42578125" customWidth="1"/>
    <col min="8461" max="8461" width="10.140625" customWidth="1"/>
    <col min="8462" max="8462" width="14" customWidth="1"/>
    <col min="8463" max="8463" width="10.140625" customWidth="1"/>
    <col min="8464" max="8464" width="14" customWidth="1"/>
    <col min="8472" max="8472" width="10" customWidth="1"/>
    <col min="8716" max="8716" width="35.42578125" customWidth="1"/>
    <col min="8717" max="8717" width="10.140625" customWidth="1"/>
    <col min="8718" max="8718" width="14" customWidth="1"/>
    <col min="8719" max="8719" width="10.140625" customWidth="1"/>
    <col min="8720" max="8720" width="14" customWidth="1"/>
    <col min="8728" max="8728" width="10" customWidth="1"/>
    <col min="8972" max="8972" width="35.42578125" customWidth="1"/>
    <col min="8973" max="8973" width="10.140625" customWidth="1"/>
    <col min="8974" max="8974" width="14" customWidth="1"/>
    <col min="8975" max="8975" width="10.140625" customWidth="1"/>
    <col min="8976" max="8976" width="14" customWidth="1"/>
    <col min="8984" max="8984" width="10" customWidth="1"/>
    <col min="9228" max="9228" width="35.42578125" customWidth="1"/>
    <col min="9229" max="9229" width="10.140625" customWidth="1"/>
    <col min="9230" max="9230" width="14" customWidth="1"/>
    <col min="9231" max="9231" width="10.140625" customWidth="1"/>
    <col min="9232" max="9232" width="14" customWidth="1"/>
    <col min="9240" max="9240" width="10" customWidth="1"/>
    <col min="9484" max="9484" width="35.42578125" customWidth="1"/>
    <col min="9485" max="9485" width="10.140625" customWidth="1"/>
    <col min="9486" max="9486" width="14" customWidth="1"/>
    <col min="9487" max="9487" width="10.140625" customWidth="1"/>
    <col min="9488" max="9488" width="14" customWidth="1"/>
    <col min="9496" max="9496" width="10" customWidth="1"/>
    <col min="9740" max="9740" width="35.42578125" customWidth="1"/>
    <col min="9741" max="9741" width="10.140625" customWidth="1"/>
    <col min="9742" max="9742" width="14" customWidth="1"/>
    <col min="9743" max="9743" width="10.140625" customWidth="1"/>
    <col min="9744" max="9744" width="14" customWidth="1"/>
    <col min="9752" max="9752" width="10" customWidth="1"/>
    <col min="9996" max="9996" width="35.42578125" customWidth="1"/>
    <col min="9997" max="9997" width="10.140625" customWidth="1"/>
    <col min="9998" max="9998" width="14" customWidth="1"/>
    <col min="9999" max="9999" width="10.140625" customWidth="1"/>
    <col min="10000" max="10000" width="14" customWidth="1"/>
    <col min="10008" max="10008" width="10" customWidth="1"/>
    <col min="10252" max="10252" width="35.42578125" customWidth="1"/>
    <col min="10253" max="10253" width="10.140625" customWidth="1"/>
    <col min="10254" max="10254" width="14" customWidth="1"/>
    <col min="10255" max="10255" width="10.140625" customWidth="1"/>
    <col min="10256" max="10256" width="14" customWidth="1"/>
    <col min="10264" max="10264" width="10" customWidth="1"/>
    <col min="10508" max="10508" width="35.42578125" customWidth="1"/>
    <col min="10509" max="10509" width="10.140625" customWidth="1"/>
    <col min="10510" max="10510" width="14" customWidth="1"/>
    <col min="10511" max="10511" width="10.140625" customWidth="1"/>
    <col min="10512" max="10512" width="14" customWidth="1"/>
    <col min="10520" max="10520" width="10" customWidth="1"/>
    <col min="10764" max="10764" width="35.42578125" customWidth="1"/>
    <col min="10765" max="10765" width="10.140625" customWidth="1"/>
    <col min="10766" max="10766" width="14" customWidth="1"/>
    <col min="10767" max="10767" width="10.140625" customWidth="1"/>
    <col min="10768" max="10768" width="14" customWidth="1"/>
    <col min="10776" max="10776" width="10" customWidth="1"/>
    <col min="11020" max="11020" width="35.42578125" customWidth="1"/>
    <col min="11021" max="11021" width="10.140625" customWidth="1"/>
    <col min="11022" max="11022" width="14" customWidth="1"/>
    <col min="11023" max="11023" width="10.140625" customWidth="1"/>
    <col min="11024" max="11024" width="14" customWidth="1"/>
    <col min="11032" max="11032" width="10" customWidth="1"/>
    <col min="11276" max="11276" width="35.42578125" customWidth="1"/>
    <col min="11277" max="11277" width="10.140625" customWidth="1"/>
    <col min="11278" max="11278" width="14" customWidth="1"/>
    <col min="11279" max="11279" width="10.140625" customWidth="1"/>
    <col min="11280" max="11280" width="14" customWidth="1"/>
    <col min="11288" max="11288" width="10" customWidth="1"/>
    <col min="11532" max="11532" width="35.42578125" customWidth="1"/>
    <col min="11533" max="11533" width="10.140625" customWidth="1"/>
    <col min="11534" max="11534" width="14" customWidth="1"/>
    <col min="11535" max="11535" width="10.140625" customWidth="1"/>
    <col min="11536" max="11536" width="14" customWidth="1"/>
    <col min="11544" max="11544" width="10" customWidth="1"/>
    <col min="11788" max="11788" width="35.42578125" customWidth="1"/>
    <col min="11789" max="11789" width="10.140625" customWidth="1"/>
    <col min="11790" max="11790" width="14" customWidth="1"/>
    <col min="11791" max="11791" width="10.140625" customWidth="1"/>
    <col min="11792" max="11792" width="14" customWidth="1"/>
    <col min="11800" max="11800" width="10" customWidth="1"/>
    <col min="12044" max="12044" width="35.42578125" customWidth="1"/>
    <col min="12045" max="12045" width="10.140625" customWidth="1"/>
    <col min="12046" max="12046" width="14" customWidth="1"/>
    <col min="12047" max="12047" width="10.140625" customWidth="1"/>
    <col min="12048" max="12048" width="14" customWidth="1"/>
    <col min="12056" max="12056" width="10" customWidth="1"/>
    <col min="12300" max="12300" width="35.42578125" customWidth="1"/>
    <col min="12301" max="12301" width="10.140625" customWidth="1"/>
    <col min="12302" max="12302" width="14" customWidth="1"/>
    <col min="12303" max="12303" width="10.140625" customWidth="1"/>
    <col min="12304" max="12304" width="14" customWidth="1"/>
    <col min="12312" max="12312" width="10" customWidth="1"/>
    <col min="12556" max="12556" width="35.42578125" customWidth="1"/>
    <col min="12557" max="12557" width="10.140625" customWidth="1"/>
    <col min="12558" max="12558" width="14" customWidth="1"/>
    <col min="12559" max="12559" width="10.140625" customWidth="1"/>
    <col min="12560" max="12560" width="14" customWidth="1"/>
    <col min="12568" max="12568" width="10" customWidth="1"/>
    <col min="12812" max="12812" width="35.42578125" customWidth="1"/>
    <col min="12813" max="12813" width="10.140625" customWidth="1"/>
    <col min="12814" max="12814" width="14" customWidth="1"/>
    <col min="12815" max="12815" width="10.140625" customWidth="1"/>
    <col min="12816" max="12816" width="14" customWidth="1"/>
    <col min="12824" max="12824" width="10" customWidth="1"/>
    <col min="13068" max="13068" width="35.42578125" customWidth="1"/>
    <col min="13069" max="13069" width="10.140625" customWidth="1"/>
    <col min="13070" max="13070" width="14" customWidth="1"/>
    <col min="13071" max="13071" width="10.140625" customWidth="1"/>
    <col min="13072" max="13072" width="14" customWidth="1"/>
    <col min="13080" max="13080" width="10" customWidth="1"/>
    <col min="13324" max="13324" width="35.42578125" customWidth="1"/>
    <col min="13325" max="13325" width="10.140625" customWidth="1"/>
    <col min="13326" max="13326" width="14" customWidth="1"/>
    <col min="13327" max="13327" width="10.140625" customWidth="1"/>
    <col min="13328" max="13328" width="14" customWidth="1"/>
    <col min="13336" max="13336" width="10" customWidth="1"/>
    <col min="13580" max="13580" width="35.42578125" customWidth="1"/>
    <col min="13581" max="13581" width="10.140625" customWidth="1"/>
    <col min="13582" max="13582" width="14" customWidth="1"/>
    <col min="13583" max="13583" width="10.140625" customWidth="1"/>
    <col min="13584" max="13584" width="14" customWidth="1"/>
    <col min="13592" max="13592" width="10" customWidth="1"/>
    <col min="13836" max="13836" width="35.42578125" customWidth="1"/>
    <col min="13837" max="13837" width="10.140625" customWidth="1"/>
    <col min="13838" max="13838" width="14" customWidth="1"/>
    <col min="13839" max="13839" width="10.140625" customWidth="1"/>
    <col min="13840" max="13840" width="14" customWidth="1"/>
    <col min="13848" max="13848" width="10" customWidth="1"/>
    <col min="14092" max="14092" width="35.42578125" customWidth="1"/>
    <col min="14093" max="14093" width="10.140625" customWidth="1"/>
    <col min="14094" max="14094" width="14" customWidth="1"/>
    <col min="14095" max="14095" width="10.140625" customWidth="1"/>
    <col min="14096" max="14096" width="14" customWidth="1"/>
    <col min="14104" max="14104" width="10" customWidth="1"/>
    <col min="14348" max="14348" width="35.42578125" customWidth="1"/>
    <col min="14349" max="14349" width="10.140625" customWidth="1"/>
    <col min="14350" max="14350" width="14" customWidth="1"/>
    <col min="14351" max="14351" width="10.140625" customWidth="1"/>
    <col min="14352" max="14352" width="14" customWidth="1"/>
    <col min="14360" max="14360" width="10" customWidth="1"/>
    <col min="14604" max="14604" width="35.42578125" customWidth="1"/>
    <col min="14605" max="14605" width="10.140625" customWidth="1"/>
    <col min="14606" max="14606" width="14" customWidth="1"/>
    <col min="14607" max="14607" width="10.140625" customWidth="1"/>
    <col min="14608" max="14608" width="14" customWidth="1"/>
    <col min="14616" max="14616" width="10" customWidth="1"/>
    <col min="14860" max="14860" width="35.42578125" customWidth="1"/>
    <col min="14861" max="14861" width="10.140625" customWidth="1"/>
    <col min="14862" max="14862" width="14" customWidth="1"/>
    <col min="14863" max="14863" width="10.140625" customWidth="1"/>
    <col min="14864" max="14864" width="14" customWidth="1"/>
    <col min="14872" max="14872" width="10" customWidth="1"/>
    <col min="15116" max="15116" width="35.42578125" customWidth="1"/>
    <col min="15117" max="15117" width="10.140625" customWidth="1"/>
    <col min="15118" max="15118" width="14" customWidth="1"/>
    <col min="15119" max="15119" width="10.140625" customWidth="1"/>
    <col min="15120" max="15120" width="14" customWidth="1"/>
    <col min="15128" max="15128" width="10" customWidth="1"/>
    <col min="15372" max="15372" width="35.42578125" customWidth="1"/>
    <col min="15373" max="15373" width="10.140625" customWidth="1"/>
    <col min="15374" max="15374" width="14" customWidth="1"/>
    <col min="15375" max="15375" width="10.140625" customWidth="1"/>
    <col min="15376" max="15376" width="14" customWidth="1"/>
    <col min="15384" max="15384" width="10" customWidth="1"/>
    <col min="15628" max="15628" width="35.42578125" customWidth="1"/>
    <col min="15629" max="15629" width="10.140625" customWidth="1"/>
    <col min="15630" max="15630" width="14" customWidth="1"/>
    <col min="15631" max="15631" width="10.140625" customWidth="1"/>
    <col min="15632" max="15632" width="14" customWidth="1"/>
    <col min="15640" max="15640" width="10" customWidth="1"/>
    <col min="15884" max="15884" width="35.42578125" customWidth="1"/>
    <col min="15885" max="15885" width="10.140625" customWidth="1"/>
    <col min="15886" max="15886" width="14" customWidth="1"/>
    <col min="15887" max="15887" width="10.140625" customWidth="1"/>
    <col min="15888" max="15888" width="14" customWidth="1"/>
    <col min="15896" max="15896" width="10" customWidth="1"/>
    <col min="16140" max="16140" width="35.42578125" customWidth="1"/>
    <col min="16141" max="16141" width="10.140625" customWidth="1"/>
    <col min="16142" max="16142" width="14" customWidth="1"/>
    <col min="16143" max="16143" width="10.140625" customWidth="1"/>
    <col min="16144" max="16144" width="14" customWidth="1"/>
    <col min="16152" max="16152" width="10" customWidth="1"/>
  </cols>
  <sheetData>
    <row r="1" spans="1:25">
      <c r="B1" s="41" t="s">
        <v>392</v>
      </c>
      <c r="C1" s="41"/>
    </row>
    <row r="2" spans="1:25">
      <c r="B2" s="41" t="s">
        <v>58</v>
      </c>
      <c r="C2" s="41"/>
    </row>
    <row r="3" spans="1:25">
      <c r="B3" s="41" t="s">
        <v>16</v>
      </c>
      <c r="C3" s="41"/>
      <c r="E3" s="2" t="s">
        <v>59</v>
      </c>
      <c r="V3" s="2"/>
      <c r="W3" s="2" t="s">
        <v>92</v>
      </c>
      <c r="X3" s="2"/>
      <c r="Y3" s="2"/>
    </row>
    <row r="4" spans="1:25">
      <c r="A4" s="2" t="s">
        <v>11</v>
      </c>
      <c r="B4" s="106"/>
      <c r="C4" s="106"/>
    </row>
    <row r="5" spans="1:25">
      <c r="B5" s="106"/>
      <c r="C5" s="106"/>
    </row>
    <row r="6" spans="1:25">
      <c r="A6" t="s">
        <v>0</v>
      </c>
      <c r="B6" s="46">
        <f>'Disability $ details 05-06'!B6*0.103</f>
        <v>55.62</v>
      </c>
      <c r="C6" s="46"/>
      <c r="D6" s="22" t="s">
        <v>217</v>
      </c>
      <c r="E6" t="s">
        <v>354</v>
      </c>
      <c r="W6" s="38" t="s">
        <v>344</v>
      </c>
      <c r="X6" s="38"/>
      <c r="Y6" s="38"/>
    </row>
    <row r="7" spans="1:25">
      <c r="A7" t="s">
        <v>1</v>
      </c>
      <c r="B7" s="46">
        <f>'Disability $ details 05-06'!B7*0.103</f>
        <v>90.125</v>
      </c>
      <c r="C7" s="46"/>
      <c r="D7" s="22" t="s">
        <v>217</v>
      </c>
      <c r="E7" t="s">
        <v>218</v>
      </c>
      <c r="Q7" t="s">
        <v>93</v>
      </c>
    </row>
    <row r="8" spans="1:25">
      <c r="A8" t="s">
        <v>14</v>
      </c>
      <c r="B8" s="46">
        <f>'Disability $ details 05-06'!B8*0.103</f>
        <v>8.754999999999999</v>
      </c>
      <c r="C8" s="46"/>
      <c r="D8" s="22" t="s">
        <v>217</v>
      </c>
      <c r="E8" t="s">
        <v>393</v>
      </c>
    </row>
    <row r="9" spans="1:25">
      <c r="A9" t="s">
        <v>2</v>
      </c>
      <c r="B9" s="46">
        <f>'Disability $ details 05-06'!B9*0.103</f>
        <v>0.51500000000000001</v>
      </c>
      <c r="C9" s="46"/>
      <c r="D9" s="22" t="s">
        <v>217</v>
      </c>
    </row>
    <row r="10" spans="1:25">
      <c r="A10" t="s">
        <v>68</v>
      </c>
      <c r="B10" s="46">
        <f>'Disability $ details 05-06'!B10*0.103</f>
        <v>0</v>
      </c>
      <c r="C10" s="46"/>
      <c r="D10" s="22" t="s">
        <v>217</v>
      </c>
    </row>
    <row r="11" spans="1:25">
      <c r="A11" t="s">
        <v>3</v>
      </c>
      <c r="B11" s="46">
        <f>'Disability $ details 05-06'!B11*0.103</f>
        <v>11.844999999999999</v>
      </c>
      <c r="C11" s="46"/>
      <c r="D11" s="22" t="s">
        <v>217</v>
      </c>
    </row>
    <row r="12" spans="1:25">
      <c r="A12" t="s">
        <v>15</v>
      </c>
      <c r="B12" s="46">
        <f>'Disability $ details 05-06'!B12*0.103</f>
        <v>9.27</v>
      </c>
      <c r="C12" s="46"/>
      <c r="D12" s="22" t="s">
        <v>217</v>
      </c>
      <c r="V12" s="7"/>
    </row>
    <row r="13" spans="1:25">
      <c r="A13" s="3" t="s">
        <v>24</v>
      </c>
      <c r="B13" s="104">
        <f>SUM(B6:B12)</f>
        <v>176.13</v>
      </c>
      <c r="C13" s="104"/>
      <c r="D13" s="22" t="s">
        <v>217</v>
      </c>
      <c r="V13" s="7"/>
    </row>
    <row r="14" spans="1:25">
      <c r="B14" s="46"/>
      <c r="C14" s="46"/>
      <c r="D14" s="22"/>
      <c r="V14" s="7"/>
    </row>
    <row r="15" spans="1:25">
      <c r="A15" s="2" t="s">
        <v>4</v>
      </c>
      <c r="B15" s="46"/>
      <c r="C15" s="46"/>
      <c r="D15" s="22"/>
      <c r="V15" s="7"/>
    </row>
    <row r="16" spans="1:25">
      <c r="A16" t="s">
        <v>5</v>
      </c>
      <c r="B16" s="46">
        <v>306.39999999999998</v>
      </c>
      <c r="C16" s="46"/>
      <c r="D16" s="22"/>
      <c r="E16" t="s">
        <v>399</v>
      </c>
      <c r="V16" s="7"/>
      <c r="W16" t="s">
        <v>220</v>
      </c>
    </row>
    <row r="17" spans="1:25">
      <c r="A17" t="s">
        <v>69</v>
      </c>
      <c r="B17" s="105" t="s">
        <v>322</v>
      </c>
      <c r="C17" s="105"/>
      <c r="D17" s="22"/>
      <c r="V17" s="7"/>
    </row>
    <row r="18" spans="1:25">
      <c r="A18" t="s">
        <v>6</v>
      </c>
      <c r="B18" s="46">
        <v>69.8</v>
      </c>
      <c r="C18" s="46"/>
      <c r="D18" s="22"/>
      <c r="E18" t="s">
        <v>316</v>
      </c>
      <c r="V18" s="7"/>
      <c r="W18" s="38" t="s">
        <v>72</v>
      </c>
      <c r="X18" s="38"/>
      <c r="Y18" s="38"/>
    </row>
    <row r="19" spans="1:25">
      <c r="A19" s="3" t="s">
        <v>24</v>
      </c>
      <c r="B19" s="104">
        <f>SUM(B16:B18)</f>
        <v>376.2</v>
      </c>
      <c r="C19" s="104"/>
      <c r="D19" s="22" t="s">
        <v>421</v>
      </c>
      <c r="V19" s="7"/>
    </row>
    <row r="20" spans="1:25">
      <c r="B20" s="46"/>
      <c r="C20" s="46"/>
      <c r="D20" s="22"/>
      <c r="V20" s="7"/>
    </row>
    <row r="21" spans="1:25">
      <c r="A21" s="2" t="s">
        <v>101</v>
      </c>
      <c r="B21" s="143">
        <v>160.6</v>
      </c>
      <c r="C21" s="46" t="s">
        <v>237</v>
      </c>
      <c r="D21" s="22"/>
      <c r="E21" t="s">
        <v>420</v>
      </c>
      <c r="V21" s="7"/>
      <c r="W21" t="s">
        <v>102</v>
      </c>
    </row>
    <row r="22" spans="1:25">
      <c r="A22" s="3" t="s">
        <v>221</v>
      </c>
      <c r="B22" s="104">
        <f>SUM(B21)</f>
        <v>160.6</v>
      </c>
      <c r="C22" s="104"/>
      <c r="D22" s="22"/>
      <c r="V22" s="7"/>
      <c r="W22" t="s">
        <v>103</v>
      </c>
    </row>
    <row r="23" spans="1:25">
      <c r="A23" s="3"/>
      <c r="B23" s="104"/>
      <c r="C23" s="104"/>
      <c r="D23" s="22"/>
      <c r="V23" s="7"/>
    </row>
    <row r="24" spans="1:25">
      <c r="A24" s="2" t="s">
        <v>334</v>
      </c>
      <c r="B24" s="46"/>
      <c r="C24" s="46"/>
      <c r="D24" s="22"/>
      <c r="R24" s="9"/>
      <c r="S24" s="9"/>
      <c r="T24" s="9"/>
      <c r="V24" s="7"/>
    </row>
    <row r="25" spans="1:25">
      <c r="A25" s="103" t="s">
        <v>335</v>
      </c>
      <c r="B25" s="181">
        <f>'SA by provi 05-06'!B30</f>
        <v>112</v>
      </c>
      <c r="C25" s="181"/>
      <c r="D25" s="174"/>
      <c r="E25" s="179" t="s">
        <v>400</v>
      </c>
      <c r="F25" s="153"/>
      <c r="G25" s="153"/>
      <c r="H25" s="153"/>
      <c r="I25" s="153"/>
      <c r="J25" s="153"/>
      <c r="K25" s="153"/>
      <c r="L25" s="153"/>
      <c r="M25" s="153"/>
      <c r="N25" s="153"/>
      <c r="O25" s="153"/>
      <c r="V25" s="7"/>
      <c r="W25" t="s">
        <v>263</v>
      </c>
    </row>
    <row r="26" spans="1:25">
      <c r="A26" s="103" t="s">
        <v>12</v>
      </c>
      <c r="B26" s="181">
        <f>107.6*0.55</f>
        <v>59.18</v>
      </c>
      <c r="C26" s="181"/>
      <c r="D26" s="192"/>
      <c r="E26" s="217" t="s">
        <v>656</v>
      </c>
      <c r="F26" s="153"/>
      <c r="G26" s="153"/>
      <c r="H26" s="153"/>
      <c r="I26" s="153"/>
      <c r="J26" s="153"/>
      <c r="K26" s="153"/>
      <c r="L26" s="153"/>
      <c r="M26" s="153"/>
      <c r="N26" s="153"/>
      <c r="O26" s="153"/>
      <c r="V26" s="7"/>
    </row>
    <row r="27" spans="1:25">
      <c r="A27" s="115" t="s">
        <v>24</v>
      </c>
      <c r="B27" s="104">
        <f>SUM(B25:B26)</f>
        <v>171.18</v>
      </c>
      <c r="C27" s="104"/>
      <c r="D27" s="22"/>
      <c r="V27" s="7"/>
    </row>
    <row r="28" spans="1:25">
      <c r="A28" s="115"/>
      <c r="B28" s="104"/>
      <c r="C28" s="104"/>
      <c r="D28" s="22"/>
      <c r="V28" s="7"/>
    </row>
    <row r="29" spans="1:25">
      <c r="A29" s="107" t="s">
        <v>401</v>
      </c>
      <c r="B29" s="44">
        <f>'SA by provi 05-06'!B44</f>
        <v>340.1</v>
      </c>
      <c r="C29" s="104"/>
      <c r="D29" s="22"/>
      <c r="E29" s="75" t="s">
        <v>400</v>
      </c>
      <c r="V29" s="7"/>
    </row>
    <row r="30" spans="1:25">
      <c r="A30" s="3"/>
      <c r="B30" s="104"/>
      <c r="C30" s="104"/>
      <c r="D30" s="22"/>
      <c r="V30" s="7"/>
    </row>
    <row r="31" spans="1:25">
      <c r="A31" s="2" t="s">
        <v>13</v>
      </c>
      <c r="B31" s="46"/>
      <c r="C31" s="46"/>
      <c r="D31" s="22"/>
      <c r="V31" s="7"/>
    </row>
    <row r="32" spans="1:25">
      <c r="A32" t="s">
        <v>7</v>
      </c>
      <c r="B32" s="46">
        <v>294.60000000000002</v>
      </c>
      <c r="C32" s="46"/>
      <c r="D32" s="22">
        <v>2005</v>
      </c>
      <c r="E32" t="s">
        <v>96</v>
      </c>
      <c r="V32" s="7"/>
      <c r="W32" t="s">
        <v>324</v>
      </c>
    </row>
    <row r="33" spans="1:23">
      <c r="A33" t="s">
        <v>8</v>
      </c>
      <c r="B33" s="46"/>
      <c r="C33" s="46"/>
      <c r="D33" s="22"/>
      <c r="E33" t="s">
        <v>70</v>
      </c>
      <c r="V33" s="7"/>
    </row>
    <row r="34" spans="1:23">
      <c r="A34" s="3" t="s">
        <v>57</v>
      </c>
      <c r="B34" s="104">
        <f>SUM(B32:B33)</f>
        <v>294.60000000000002</v>
      </c>
      <c r="C34" s="104"/>
      <c r="D34" s="22"/>
      <c r="V34" s="7"/>
    </row>
    <row r="35" spans="1:23">
      <c r="A35" s="3"/>
      <c r="B35" s="104"/>
      <c r="C35" s="104"/>
      <c r="D35" s="22"/>
      <c r="V35" s="7"/>
    </row>
    <row r="36" spans="1:23">
      <c r="A36" s="2" t="s">
        <v>64</v>
      </c>
      <c r="B36" s="46"/>
      <c r="C36" s="46"/>
      <c r="D36" s="22"/>
      <c r="V36" s="7"/>
    </row>
    <row r="37" spans="1:23">
      <c r="A37" t="s">
        <v>9</v>
      </c>
      <c r="B37" s="46">
        <v>68</v>
      </c>
      <c r="C37" s="46"/>
      <c r="D37" s="22">
        <v>2005</v>
      </c>
      <c r="E37" t="s">
        <v>61</v>
      </c>
      <c r="V37" s="7"/>
      <c r="W37" t="s">
        <v>75</v>
      </c>
    </row>
    <row r="38" spans="1:23">
      <c r="A38" t="s">
        <v>10</v>
      </c>
      <c r="B38" s="46">
        <v>317</v>
      </c>
      <c r="C38" s="46"/>
      <c r="D38" s="22"/>
      <c r="V38" s="7"/>
      <c r="W38" t="s">
        <v>378</v>
      </c>
    </row>
    <row r="39" spans="1:23">
      <c r="A39" s="3" t="s">
        <v>24</v>
      </c>
      <c r="B39" s="104">
        <f>SUM(B37:B38)</f>
        <v>385</v>
      </c>
      <c r="C39" s="104"/>
      <c r="D39" s="22"/>
      <c r="V39" s="7"/>
    </row>
    <row r="40" spans="1:23">
      <c r="B40" s="46"/>
      <c r="C40" s="46"/>
      <c r="D40" s="22"/>
    </row>
    <row r="41" spans="1:23" ht="15.75">
      <c r="A41" s="4" t="s">
        <v>23</v>
      </c>
      <c r="B41" s="176">
        <f>SUM(B13+B19+B22+B27+B29+B34+B39)</f>
        <v>1903.81</v>
      </c>
      <c r="C41" s="176" t="s">
        <v>237</v>
      </c>
    </row>
    <row r="42" spans="1:23" ht="15.75">
      <c r="A42" s="4"/>
      <c r="B42" s="48"/>
      <c r="C42" s="48"/>
    </row>
    <row r="43" spans="1:23" ht="15.75">
      <c r="A43" s="149" t="s">
        <v>422</v>
      </c>
      <c r="B43" s="48"/>
      <c r="C43" s="48"/>
    </row>
    <row r="44" spans="1:23">
      <c r="B44" s="39"/>
      <c r="C44" s="39"/>
    </row>
    <row r="45" spans="1:23">
      <c r="B45" s="41" t="s">
        <v>392</v>
      </c>
      <c r="C45" s="41"/>
    </row>
    <row r="46" spans="1:23">
      <c r="B46" s="41" t="s">
        <v>181</v>
      </c>
      <c r="C46" s="41"/>
    </row>
    <row r="47" spans="1:23">
      <c r="B47" s="41" t="s">
        <v>16</v>
      </c>
      <c r="C47" s="41"/>
    </row>
    <row r="48" spans="1:23">
      <c r="A48" s="2" t="s">
        <v>11</v>
      </c>
      <c r="B48" s="106"/>
      <c r="C48" s="106"/>
    </row>
    <row r="49" spans="1:25">
      <c r="B49" s="106"/>
      <c r="C49" s="106"/>
    </row>
    <row r="50" spans="1:25">
      <c r="A50" t="s">
        <v>0</v>
      </c>
      <c r="B50" s="46">
        <f>'CAN Disability details 09-10'!B6*0.109</f>
        <v>67.58</v>
      </c>
      <c r="C50" s="46"/>
      <c r="E50" t="s">
        <v>354</v>
      </c>
      <c r="W50" s="38" t="s">
        <v>344</v>
      </c>
      <c r="X50" s="38"/>
      <c r="Y50" s="38"/>
    </row>
    <row r="51" spans="1:25">
      <c r="A51" t="s">
        <v>1</v>
      </c>
      <c r="B51" s="46">
        <f>'CAN Disability details 09-10'!B7*0.109</f>
        <v>109</v>
      </c>
      <c r="C51" s="46"/>
      <c r="E51" t="s">
        <v>218</v>
      </c>
    </row>
    <row r="52" spans="1:25">
      <c r="A52" t="s">
        <v>14</v>
      </c>
      <c r="B52" s="46">
        <f>'CAN Disability details 09-10'!B8*0.109</f>
        <v>10.573</v>
      </c>
      <c r="C52" s="46"/>
      <c r="E52" t="s">
        <v>402</v>
      </c>
    </row>
    <row r="53" spans="1:25">
      <c r="A53" t="s">
        <v>2</v>
      </c>
      <c r="B53" s="46">
        <f>'CAN Disability details 09-10'!B9*0.109</f>
        <v>0.54500000000000004</v>
      </c>
      <c r="C53" s="46"/>
    </row>
    <row r="54" spans="1:25">
      <c r="A54" t="s">
        <v>68</v>
      </c>
      <c r="B54" s="46">
        <f>'CAN Disability details 09-10'!B10*0.109</f>
        <v>0</v>
      </c>
      <c r="C54" s="46"/>
      <c r="E54" s="7"/>
    </row>
    <row r="55" spans="1:25">
      <c r="A55" t="s">
        <v>3</v>
      </c>
      <c r="B55" s="46">
        <f>'CAN Disability details 09-10'!B11*0.109</f>
        <v>14.17</v>
      </c>
      <c r="C55" s="46"/>
      <c r="E55" s="7"/>
    </row>
    <row r="56" spans="1:25">
      <c r="A56" t="s">
        <v>15</v>
      </c>
      <c r="B56" s="46">
        <f>'CAN Disability details 09-10'!B12*0.109</f>
        <v>21.418500000000002</v>
      </c>
      <c r="C56" s="46"/>
      <c r="E56" s="7"/>
    </row>
    <row r="57" spans="1:25">
      <c r="A57" s="3" t="s">
        <v>24</v>
      </c>
      <c r="B57" s="104">
        <f>SUM(B50:B56)</f>
        <v>223.28649999999996</v>
      </c>
      <c r="C57" s="104"/>
      <c r="E57" s="7"/>
    </row>
    <row r="58" spans="1:25">
      <c r="B58" s="46"/>
      <c r="C58" s="46"/>
    </row>
    <row r="59" spans="1:25">
      <c r="A59" s="2" t="s">
        <v>4</v>
      </c>
      <c r="B59" s="46"/>
      <c r="C59" s="46"/>
    </row>
    <row r="60" spans="1:25">
      <c r="A60" t="s">
        <v>5</v>
      </c>
      <c r="B60" s="46">
        <v>330.5</v>
      </c>
      <c r="C60" s="46"/>
      <c r="E60" t="s">
        <v>325</v>
      </c>
    </row>
    <row r="61" spans="1:25">
      <c r="A61" t="s">
        <v>69</v>
      </c>
      <c r="B61" s="105"/>
      <c r="C61" s="105"/>
    </row>
    <row r="62" spans="1:25">
      <c r="A62" t="s">
        <v>6</v>
      </c>
      <c r="B62" s="46">
        <v>89.9</v>
      </c>
      <c r="C62" s="46"/>
      <c r="E62" s="39" t="s">
        <v>394</v>
      </c>
      <c r="F62" s="39"/>
      <c r="G62" s="39"/>
      <c r="H62" s="39"/>
      <c r="I62" s="39"/>
      <c r="J62" s="39"/>
      <c r="K62" s="39"/>
      <c r="L62" s="39"/>
      <c r="M62" s="39"/>
      <c r="N62" s="39"/>
      <c r="O62" s="39"/>
      <c r="P62" s="39"/>
      <c r="Q62" s="39"/>
      <c r="R62" s="39"/>
      <c r="S62" s="39"/>
      <c r="T62" s="39"/>
      <c r="U62" s="39"/>
      <c r="V62" s="144"/>
      <c r="W62" s="145" t="s">
        <v>395</v>
      </c>
      <c r="X62" s="145"/>
      <c r="Y62" s="145"/>
    </row>
    <row r="63" spans="1:25">
      <c r="A63" s="3" t="s">
        <v>24</v>
      </c>
      <c r="B63" s="104">
        <f>SUM(B60:B62)</f>
        <v>420.4</v>
      </c>
      <c r="C63" s="104"/>
    </row>
    <row r="64" spans="1:25">
      <c r="B64" s="46"/>
      <c r="C64" s="46"/>
    </row>
    <row r="65" spans="1:21">
      <c r="A65" s="2" t="s">
        <v>478</v>
      </c>
      <c r="B65" s="44">
        <f>'CAN Disability details 09-10'!B22*0.099</f>
        <v>200.9898</v>
      </c>
      <c r="C65" s="104" t="s">
        <v>237</v>
      </c>
      <c r="E65" t="s">
        <v>457</v>
      </c>
    </row>
    <row r="66" spans="1:21">
      <c r="A66" s="3"/>
      <c r="B66" s="104"/>
      <c r="C66" s="104"/>
      <c r="E66" t="s">
        <v>463</v>
      </c>
    </row>
    <row r="67" spans="1:21">
      <c r="A67" s="2" t="s">
        <v>334</v>
      </c>
      <c r="B67" s="46"/>
      <c r="C67" s="46"/>
    </row>
    <row r="68" spans="1:21">
      <c r="A68" s="103" t="s">
        <v>335</v>
      </c>
      <c r="B68" s="181">
        <f>'SA $ by prov 09-10'!B29</f>
        <v>153.1</v>
      </c>
      <c r="C68" s="181"/>
      <c r="D68" s="153"/>
      <c r="E68" s="153" t="s">
        <v>403</v>
      </c>
      <c r="F68" s="153"/>
      <c r="G68" s="153"/>
      <c r="H68" s="153"/>
      <c r="I68" s="153"/>
      <c r="J68" s="153"/>
      <c r="K68" s="153"/>
      <c r="L68" s="153"/>
      <c r="M68" s="153"/>
      <c r="N68" s="153"/>
      <c r="O68" s="153"/>
      <c r="P68" s="153"/>
      <c r="Q68" s="153"/>
      <c r="R68" s="153"/>
      <c r="S68" s="153"/>
      <c r="T68" s="153"/>
      <c r="U68" s="153"/>
    </row>
    <row r="69" spans="1:21">
      <c r="A69" s="103" t="s">
        <v>12</v>
      </c>
      <c r="B69" s="181">
        <f>137.8*0.55</f>
        <v>75.790000000000006</v>
      </c>
      <c r="C69" s="181"/>
      <c r="D69" s="153"/>
      <c r="E69" s="217" t="s">
        <v>657</v>
      </c>
      <c r="F69" s="153"/>
      <c r="G69" s="153"/>
      <c r="H69" s="153"/>
      <c r="I69" s="153"/>
      <c r="J69" s="153"/>
      <c r="K69" s="153"/>
      <c r="L69" s="153"/>
      <c r="M69" s="153"/>
      <c r="N69" s="153"/>
      <c r="O69" s="153"/>
      <c r="P69" s="153"/>
      <c r="Q69" s="153"/>
      <c r="R69" s="153"/>
      <c r="S69" s="153"/>
      <c r="T69" s="153"/>
      <c r="U69" s="153"/>
    </row>
    <row r="70" spans="1:21">
      <c r="A70" s="115" t="s">
        <v>24</v>
      </c>
      <c r="B70" s="104">
        <f>SUM(B68:B69)</f>
        <v>228.89</v>
      </c>
      <c r="C70" s="104"/>
    </row>
    <row r="71" spans="1:21">
      <c r="A71" s="3"/>
      <c r="B71" s="104"/>
      <c r="C71" s="104"/>
    </row>
    <row r="72" spans="1:21">
      <c r="A72" s="107" t="s">
        <v>401</v>
      </c>
      <c r="B72" s="44">
        <f>'SA $ by prov 09-10'!B43</f>
        <v>517.70000000000005</v>
      </c>
      <c r="C72" s="104"/>
      <c r="E72" t="s">
        <v>400</v>
      </c>
    </row>
    <row r="73" spans="1:21">
      <c r="A73" s="3"/>
      <c r="B73" s="104"/>
      <c r="C73" s="104"/>
    </row>
    <row r="74" spans="1:21">
      <c r="A74" s="2" t="s">
        <v>13</v>
      </c>
      <c r="B74" s="46"/>
      <c r="C74" s="46"/>
    </row>
    <row r="75" spans="1:21">
      <c r="A75" t="s">
        <v>7</v>
      </c>
      <c r="B75" s="46">
        <v>307.8</v>
      </c>
      <c r="C75" s="46"/>
      <c r="E75" t="s">
        <v>215</v>
      </c>
    </row>
    <row r="76" spans="1:21">
      <c r="A76" t="s">
        <v>8</v>
      </c>
      <c r="B76" s="46"/>
      <c r="C76" s="46"/>
      <c r="E76" t="s">
        <v>167</v>
      </c>
    </row>
    <row r="77" spans="1:21">
      <c r="A77" s="3" t="s">
        <v>57</v>
      </c>
      <c r="B77" s="104">
        <f>SUM(B75:B76)</f>
        <v>307.8</v>
      </c>
      <c r="C77" s="104"/>
    </row>
    <row r="78" spans="1:21">
      <c r="A78" s="3"/>
      <c r="B78" s="104"/>
      <c r="C78" s="104"/>
    </row>
    <row r="79" spans="1:21">
      <c r="A79" t="s">
        <v>64</v>
      </c>
      <c r="B79" s="46"/>
      <c r="C79" s="46"/>
    </row>
    <row r="80" spans="1:21">
      <c r="A80" t="s">
        <v>9</v>
      </c>
      <c r="B80" s="46">
        <v>124</v>
      </c>
      <c r="C80" s="46"/>
      <c r="E80" t="s">
        <v>207</v>
      </c>
    </row>
    <row r="81" spans="1:25">
      <c r="A81" t="s">
        <v>10</v>
      </c>
      <c r="B81" s="46">
        <v>410</v>
      </c>
      <c r="C81" s="46"/>
      <c r="E81" t="s">
        <v>207</v>
      </c>
    </row>
    <row r="82" spans="1:25">
      <c r="A82" s="3" t="s">
        <v>24</v>
      </c>
      <c r="B82" s="104">
        <f>SUM(B80:B81)</f>
        <v>534</v>
      </c>
      <c r="C82" s="104"/>
      <c r="E82" t="s">
        <v>378</v>
      </c>
    </row>
    <row r="83" spans="1:25">
      <c r="B83" s="46"/>
      <c r="C83" s="46"/>
    </row>
    <row r="84" spans="1:25" ht="15.75">
      <c r="A84" s="4" t="s">
        <v>23</v>
      </c>
      <c r="B84" s="176">
        <f>SUM(B57+B63+B65+B69+B68+B72+B77+B82)</f>
        <v>2433.0662999999995</v>
      </c>
      <c r="C84" s="176" t="s">
        <v>237</v>
      </c>
    </row>
    <row r="87" spans="1:25">
      <c r="B87" s="41" t="s">
        <v>392</v>
      </c>
      <c r="C87" s="41"/>
    </row>
    <row r="88" spans="1:25">
      <c r="B88" s="41" t="s">
        <v>514</v>
      </c>
      <c r="C88" s="41"/>
    </row>
    <row r="89" spans="1:25">
      <c r="B89" s="41" t="s">
        <v>16</v>
      </c>
      <c r="C89" s="41"/>
    </row>
    <row r="90" spans="1:25">
      <c r="A90" s="2" t="s">
        <v>11</v>
      </c>
      <c r="B90" s="106"/>
      <c r="C90" s="106"/>
    </row>
    <row r="91" spans="1:25">
      <c r="B91" s="106"/>
      <c r="C91" s="106"/>
    </row>
    <row r="92" spans="1:25">
      <c r="A92" t="s">
        <v>0</v>
      </c>
      <c r="B92" s="143">
        <f>'CAN Disability details 10-11'!B6*0.11</f>
        <v>71.5</v>
      </c>
      <c r="C92" s="46"/>
      <c r="E92" t="s">
        <v>811</v>
      </c>
      <c r="W92" s="38" t="s">
        <v>810</v>
      </c>
      <c r="X92" s="38"/>
      <c r="Y92" s="38"/>
    </row>
    <row r="93" spans="1:25">
      <c r="A93" t="s">
        <v>1</v>
      </c>
      <c r="B93" s="143">
        <f>'CAN Disability details 10-11'!B7*0.11</f>
        <v>118.8</v>
      </c>
      <c r="C93" s="46"/>
      <c r="E93" t="s">
        <v>218</v>
      </c>
    </row>
    <row r="94" spans="1:25">
      <c r="A94" t="s">
        <v>14</v>
      </c>
      <c r="B94" s="46">
        <f>'CAN Disability details 10-11'!B8*0.11</f>
        <v>11</v>
      </c>
      <c r="C94" s="46"/>
      <c r="E94" t="s">
        <v>572</v>
      </c>
    </row>
    <row r="95" spans="1:25">
      <c r="A95" t="s">
        <v>2</v>
      </c>
      <c r="B95" s="46">
        <f>'CAN Disability details 10-11'!B9*0.11</f>
        <v>0.55000000000000004</v>
      </c>
      <c r="C95" s="46"/>
    </row>
    <row r="96" spans="1:25">
      <c r="A96" t="s">
        <v>68</v>
      </c>
      <c r="B96" s="46">
        <f>'CAN Disability details 10-11'!B10*0.11</f>
        <v>0</v>
      </c>
      <c r="C96" s="46"/>
      <c r="E96" s="7"/>
    </row>
    <row r="97" spans="1:25">
      <c r="A97" t="s">
        <v>3</v>
      </c>
      <c r="B97" s="46">
        <f>'CAN Disability details 10-11'!B11*0.11</f>
        <v>14.85</v>
      </c>
      <c r="C97" s="46"/>
      <c r="E97" s="7"/>
    </row>
    <row r="98" spans="1:25">
      <c r="A98" t="s">
        <v>15</v>
      </c>
      <c r="B98" s="46">
        <f>'CAN Disability details 10-11'!B12*0.11</f>
        <v>24.244</v>
      </c>
      <c r="C98" s="46"/>
      <c r="E98" s="7" t="s">
        <v>581</v>
      </c>
      <c r="W98" s="38" t="s">
        <v>579</v>
      </c>
      <c r="X98" s="38"/>
      <c r="Y98" s="38"/>
    </row>
    <row r="99" spans="1:25">
      <c r="A99" s="3" t="s">
        <v>24</v>
      </c>
      <c r="B99" s="138">
        <f>SUM(B92:B98)</f>
        <v>240.94400000000002</v>
      </c>
      <c r="C99" s="104"/>
      <c r="E99" s="7"/>
    </row>
    <row r="100" spans="1:25">
      <c r="B100" s="46"/>
      <c r="C100" s="46"/>
    </row>
    <row r="101" spans="1:25">
      <c r="A101" s="2" t="s">
        <v>4</v>
      </c>
      <c r="B101" s="46"/>
      <c r="C101" s="46"/>
    </row>
    <row r="102" spans="1:25">
      <c r="A102" t="s">
        <v>5</v>
      </c>
      <c r="B102" s="46">
        <v>351.8</v>
      </c>
      <c r="C102" s="46"/>
      <c r="E102" t="s">
        <v>576</v>
      </c>
      <c r="W102" t="s">
        <v>366</v>
      </c>
    </row>
    <row r="103" spans="1:25">
      <c r="A103" t="s">
        <v>69</v>
      </c>
      <c r="B103" s="105"/>
      <c r="C103" s="105"/>
    </row>
    <row r="104" spans="1:25">
      <c r="A104" t="s">
        <v>6</v>
      </c>
      <c r="B104" s="46">
        <v>85.4</v>
      </c>
      <c r="C104" s="46"/>
      <c r="E104" s="103" t="s">
        <v>520</v>
      </c>
      <c r="F104" s="103"/>
      <c r="G104" s="103"/>
      <c r="H104" s="103"/>
      <c r="I104" s="103"/>
      <c r="J104" s="103"/>
      <c r="K104" s="103"/>
      <c r="L104" s="103"/>
      <c r="M104" s="103"/>
      <c r="N104" s="103"/>
      <c r="O104" s="103"/>
      <c r="P104" s="103"/>
      <c r="Q104" s="103"/>
      <c r="R104" s="111"/>
      <c r="S104" s="111"/>
      <c r="T104" s="111"/>
      <c r="U104" s="111" t="s">
        <v>518</v>
      </c>
      <c r="W104" s="110" t="s">
        <v>519</v>
      </c>
      <c r="X104" s="110"/>
      <c r="Y104" s="110"/>
    </row>
    <row r="105" spans="1:25">
      <c r="A105" s="3" t="s">
        <v>24</v>
      </c>
      <c r="B105" s="104">
        <f>SUM(B102:B104)</f>
        <v>437.20000000000005</v>
      </c>
      <c r="C105" s="104"/>
    </row>
    <row r="106" spans="1:25">
      <c r="B106" s="46"/>
      <c r="C106" s="46"/>
    </row>
    <row r="107" spans="1:25" ht="24.75" customHeight="1">
      <c r="A107" s="2" t="s">
        <v>478</v>
      </c>
      <c r="B107" s="44">
        <f>162.1+46.2</f>
        <v>208.3</v>
      </c>
      <c r="C107" s="104" t="s">
        <v>237</v>
      </c>
      <c r="E107" s="52" t="s">
        <v>98</v>
      </c>
      <c r="W107" s="52" t="s">
        <v>713</v>
      </c>
    </row>
    <row r="108" spans="1:25">
      <c r="A108" s="3"/>
      <c r="B108" s="104"/>
      <c r="C108" s="104"/>
    </row>
    <row r="109" spans="1:25">
      <c r="A109" s="2" t="s">
        <v>334</v>
      </c>
      <c r="B109" s="46"/>
      <c r="C109" s="46"/>
    </row>
    <row r="110" spans="1:25">
      <c r="A110" s="103" t="s">
        <v>335</v>
      </c>
      <c r="B110" s="46">
        <f>'SA $ by prov 10-11'!B28</f>
        <v>170</v>
      </c>
      <c r="C110" s="46"/>
      <c r="E110" t="s">
        <v>558</v>
      </c>
    </row>
    <row r="111" spans="1:25">
      <c r="A111" s="103" t="s">
        <v>12</v>
      </c>
      <c r="B111" s="143">
        <f>143*0.55</f>
        <v>78.650000000000006</v>
      </c>
      <c r="C111" s="143" t="s">
        <v>237</v>
      </c>
      <c r="E111" s="278" t="s">
        <v>800</v>
      </c>
      <c r="W111" s="52" t="s">
        <v>789</v>
      </c>
    </row>
    <row r="112" spans="1:25">
      <c r="A112" s="115" t="s">
        <v>24</v>
      </c>
      <c r="B112" s="138">
        <f>SUM(B110:B111)</f>
        <v>248.65</v>
      </c>
      <c r="C112" s="138" t="s">
        <v>237</v>
      </c>
    </row>
    <row r="113" spans="1:25">
      <c r="A113" s="3"/>
      <c r="B113" s="104"/>
      <c r="C113" s="104"/>
    </row>
    <row r="114" spans="1:25">
      <c r="A114" s="107" t="s">
        <v>401</v>
      </c>
      <c r="B114" s="44">
        <f>'SA $ by prov 10-11'!B42</f>
        <v>539.1</v>
      </c>
      <c r="C114" s="104"/>
      <c r="E114" t="s">
        <v>616</v>
      </c>
    </row>
    <row r="115" spans="1:25">
      <c r="A115" s="3"/>
      <c r="B115" s="104"/>
      <c r="C115" s="104"/>
    </row>
    <row r="116" spans="1:25">
      <c r="A116" s="2" t="s">
        <v>13</v>
      </c>
      <c r="B116" s="46"/>
      <c r="C116" s="46"/>
    </row>
    <row r="117" spans="1:25">
      <c r="A117" t="s">
        <v>7</v>
      </c>
      <c r="B117" s="46">
        <v>314.8</v>
      </c>
      <c r="C117" s="46"/>
      <c r="E117" t="s">
        <v>547</v>
      </c>
      <c r="W117" s="38" t="s">
        <v>205</v>
      </c>
      <c r="X117" s="38"/>
      <c r="Y117" s="38"/>
    </row>
    <row r="118" spans="1:25">
      <c r="A118" t="s">
        <v>8</v>
      </c>
      <c r="B118" s="46"/>
      <c r="C118" s="46"/>
      <c r="E118" t="s">
        <v>167</v>
      </c>
    </row>
    <row r="119" spans="1:25">
      <c r="A119" s="3" t="s">
        <v>57</v>
      </c>
      <c r="B119" s="104">
        <f>SUM(B117:B118)</f>
        <v>314.8</v>
      </c>
      <c r="C119" s="104"/>
    </row>
    <row r="120" spans="1:25">
      <c r="A120" s="3"/>
      <c r="B120" s="104"/>
      <c r="C120" s="104"/>
    </row>
    <row r="121" spans="1:25">
      <c r="A121" t="s">
        <v>64</v>
      </c>
      <c r="B121" s="46"/>
      <c r="C121" s="46"/>
    </row>
    <row r="122" spans="1:25">
      <c r="A122" t="s">
        <v>9</v>
      </c>
      <c r="B122" s="46">
        <v>128</v>
      </c>
      <c r="C122" s="46"/>
      <c r="E122" t="s">
        <v>559</v>
      </c>
      <c r="W122" t="s">
        <v>75</v>
      </c>
    </row>
    <row r="123" spans="1:25">
      <c r="A123" t="s">
        <v>10</v>
      </c>
      <c r="B123" s="46">
        <v>452</v>
      </c>
      <c r="C123" s="46"/>
      <c r="E123" t="s">
        <v>559</v>
      </c>
    </row>
    <row r="124" spans="1:25">
      <c r="A124" s="3" t="s">
        <v>24</v>
      </c>
      <c r="B124" s="104">
        <f>SUM(B122:B123)</f>
        <v>580</v>
      </c>
      <c r="C124" s="104"/>
      <c r="E124" t="s">
        <v>378</v>
      </c>
    </row>
    <row r="125" spans="1:25">
      <c r="B125" s="46"/>
      <c r="C125" s="46"/>
    </row>
    <row r="126" spans="1:25" ht="15.75">
      <c r="A126" s="4" t="s">
        <v>23</v>
      </c>
      <c r="B126" s="139">
        <f>SUM(B99+B105+B107+B111+B110+B114+B119+B124)</f>
        <v>2568.9939999999997</v>
      </c>
      <c r="C126" s="139" t="s">
        <v>237</v>
      </c>
    </row>
    <row r="129" spans="1:22">
      <c r="B129" s="41" t="s">
        <v>392</v>
      </c>
      <c r="C129" s="41"/>
    </row>
    <row r="130" spans="1:22">
      <c r="B130" s="41" t="s">
        <v>689</v>
      </c>
      <c r="C130" s="41"/>
    </row>
    <row r="131" spans="1:22">
      <c r="B131" s="41" t="s">
        <v>16</v>
      </c>
      <c r="C131" s="41"/>
    </row>
    <row r="132" spans="1:22">
      <c r="A132" s="2" t="s">
        <v>11</v>
      </c>
      <c r="B132" s="106"/>
      <c r="C132" s="106"/>
    </row>
    <row r="133" spans="1:22">
      <c r="B133" s="106"/>
      <c r="C133" s="106"/>
    </row>
    <row r="134" spans="1:22">
      <c r="A134" t="s">
        <v>0</v>
      </c>
      <c r="B134" s="143">
        <f>'CAN Disability details 11-12'!B6*0.11</f>
        <v>74.25</v>
      </c>
      <c r="C134" s="46"/>
      <c r="E134" t="s">
        <v>811</v>
      </c>
      <c r="R134" s="145"/>
      <c r="S134" s="145"/>
      <c r="T134" s="145"/>
      <c r="U134" s="145"/>
      <c r="V134" s="145" t="s">
        <v>810</v>
      </c>
    </row>
    <row r="135" spans="1:22">
      <c r="A135" t="s">
        <v>1</v>
      </c>
      <c r="B135" s="143">
        <f>'CAN Disability details 11-12'!B7*0.11</f>
        <v>124.85</v>
      </c>
      <c r="C135" s="46"/>
      <c r="E135" t="s">
        <v>218</v>
      </c>
      <c r="I135" t="s">
        <v>93</v>
      </c>
      <c r="R135" s="39"/>
      <c r="S135" s="39"/>
      <c r="T135" s="39"/>
      <c r="U135" s="39"/>
      <c r="V135" s="39" t="s">
        <v>752</v>
      </c>
    </row>
    <row r="136" spans="1:22">
      <c r="A136" t="s">
        <v>14</v>
      </c>
      <c r="B136" s="46">
        <f>'CAN Disability details 11-12'!B8*0.11</f>
        <v>11.55</v>
      </c>
      <c r="C136" s="46"/>
      <c r="E136" s="52" t="s">
        <v>770</v>
      </c>
      <c r="R136" s="39"/>
      <c r="S136" s="39"/>
      <c r="T136" s="39"/>
      <c r="U136" s="39"/>
      <c r="V136" s="39"/>
    </row>
    <row r="137" spans="1:22">
      <c r="A137" t="s">
        <v>2</v>
      </c>
      <c r="B137" s="46">
        <f>'CAN Disability details 11-12'!B9*0.11</f>
        <v>0.55000000000000004</v>
      </c>
      <c r="C137" s="46"/>
      <c r="R137" s="39"/>
      <c r="S137" s="39"/>
      <c r="T137" s="39"/>
      <c r="U137" s="39"/>
      <c r="V137" s="39"/>
    </row>
    <row r="138" spans="1:22">
      <c r="A138" t="s">
        <v>68</v>
      </c>
      <c r="B138" s="46">
        <f>'CAN Disability details 11-12'!B10*0.11</f>
        <v>0</v>
      </c>
      <c r="C138" s="46"/>
      <c r="R138" s="39"/>
      <c r="S138" s="39"/>
      <c r="T138" s="39"/>
      <c r="U138" s="39"/>
      <c r="V138" s="39"/>
    </row>
    <row r="139" spans="1:22">
      <c r="A139" t="s">
        <v>3</v>
      </c>
      <c r="B139" s="143">
        <f>'CAN Disability details 11-12'!B11*0.11</f>
        <v>14.85</v>
      </c>
      <c r="C139" s="46"/>
      <c r="R139" s="39"/>
      <c r="S139" s="39"/>
      <c r="T139" s="39"/>
      <c r="U139" s="39"/>
      <c r="V139" s="39"/>
    </row>
    <row r="140" spans="1:22">
      <c r="A140" t="s">
        <v>15</v>
      </c>
      <c r="B140" s="143">
        <f>'CAN Disability details 11-12'!B12*0.11</f>
        <v>27.880599999999998</v>
      </c>
      <c r="C140" s="46"/>
      <c r="E140" s="248" t="s">
        <v>812</v>
      </c>
      <c r="F140" s="249"/>
      <c r="G140" s="249"/>
      <c r="H140" s="249"/>
      <c r="I140" s="30"/>
      <c r="J140" s="30"/>
      <c r="K140" s="30"/>
      <c r="L140" s="30"/>
      <c r="M140" s="30"/>
      <c r="N140" s="30"/>
      <c r="O140" s="30"/>
      <c r="P140" s="30"/>
      <c r="Q140" s="171"/>
      <c r="R140" s="145"/>
      <c r="S140" s="145"/>
      <c r="T140" s="145"/>
      <c r="U140" s="145"/>
      <c r="V140" s="145"/>
    </row>
    <row r="141" spans="1:22">
      <c r="A141" s="3" t="s">
        <v>24</v>
      </c>
      <c r="B141" s="138">
        <f>SUM(B134:B140)</f>
        <v>253.9306</v>
      </c>
      <c r="C141" s="104"/>
      <c r="E141" s="6"/>
      <c r="Q141" s="111"/>
      <c r="R141" s="39"/>
      <c r="S141" s="39"/>
      <c r="T141" s="39"/>
      <c r="U141" s="39"/>
      <c r="V141" s="39"/>
    </row>
    <row r="142" spans="1:22">
      <c r="B142" s="46"/>
      <c r="C142" s="46"/>
      <c r="Q142" s="29"/>
      <c r="R142" s="39"/>
      <c r="S142" s="39"/>
      <c r="T142" s="39"/>
      <c r="U142" s="39"/>
      <c r="V142" s="39"/>
    </row>
    <row r="143" spans="1:22">
      <c r="A143" s="2" t="s">
        <v>4</v>
      </c>
      <c r="B143" s="46"/>
      <c r="C143" s="46"/>
      <c r="Q143" s="29"/>
      <c r="R143" s="39"/>
      <c r="S143" s="39"/>
      <c r="T143" s="39"/>
      <c r="U143" s="39"/>
      <c r="V143" s="39"/>
    </row>
    <row r="144" spans="1:22">
      <c r="A144" t="s">
        <v>5</v>
      </c>
      <c r="B144" s="46">
        <v>383</v>
      </c>
      <c r="C144" s="46"/>
      <c r="E144" s="52" t="s">
        <v>747</v>
      </c>
      <c r="F144" s="30"/>
      <c r="G144" s="30"/>
      <c r="H144" s="30"/>
      <c r="I144" s="30"/>
      <c r="J144" s="30"/>
      <c r="K144" s="30"/>
      <c r="L144" s="30"/>
      <c r="M144" s="30"/>
      <c r="N144" s="30"/>
      <c r="O144" s="30"/>
      <c r="P144" s="30"/>
      <c r="Q144" s="172"/>
      <c r="R144" s="39"/>
      <c r="S144" s="39"/>
      <c r="T144" s="39"/>
      <c r="U144" s="39"/>
      <c r="V144" s="39" t="s">
        <v>693</v>
      </c>
    </row>
    <row r="145" spans="1:22">
      <c r="A145" t="s">
        <v>69</v>
      </c>
      <c r="B145" s="105"/>
      <c r="C145" s="105"/>
      <c r="E145" s="321" t="s">
        <v>748</v>
      </c>
      <c r="F145" s="321"/>
      <c r="G145" s="321"/>
      <c r="H145" s="321"/>
      <c r="I145" s="321"/>
      <c r="J145" s="321"/>
      <c r="K145" s="321"/>
      <c r="L145" s="321"/>
      <c r="M145" s="321"/>
      <c r="N145" s="321"/>
      <c r="O145" s="321"/>
      <c r="P145" s="321"/>
      <c r="Q145" s="172"/>
      <c r="R145" s="39"/>
      <c r="S145" s="39"/>
      <c r="T145" s="39"/>
      <c r="U145" s="39"/>
      <c r="V145" s="39" t="s">
        <v>693</v>
      </c>
    </row>
    <row r="146" spans="1:22">
      <c r="A146" t="s">
        <v>6</v>
      </c>
      <c r="B146" s="46">
        <v>85.4</v>
      </c>
      <c r="C146" s="46"/>
      <c r="E146" s="120" t="s">
        <v>694</v>
      </c>
      <c r="F146" s="103"/>
      <c r="G146" s="103"/>
      <c r="H146" s="103"/>
      <c r="I146" s="103"/>
      <c r="J146" s="103"/>
      <c r="K146" s="103"/>
      <c r="L146" s="103"/>
      <c r="M146" s="103"/>
      <c r="N146" s="103"/>
      <c r="O146" s="103"/>
      <c r="P146" s="103"/>
      <c r="Q146" s="111"/>
      <c r="R146" s="145"/>
      <c r="S146" s="145"/>
      <c r="T146" s="145"/>
      <c r="U146" s="145"/>
      <c r="V146" s="145" t="s">
        <v>519</v>
      </c>
    </row>
    <row r="147" spans="1:22">
      <c r="A147" s="3" t="s">
        <v>24</v>
      </c>
      <c r="B147" s="104">
        <f>SUM(B144:B146)</f>
        <v>468.4</v>
      </c>
      <c r="C147" s="104"/>
    </row>
    <row r="148" spans="1:22">
      <c r="B148" s="46"/>
      <c r="C148" s="46"/>
    </row>
    <row r="149" spans="1:22">
      <c r="A149" s="2" t="s">
        <v>478</v>
      </c>
      <c r="B149" s="44">
        <f>160.1+40.1</f>
        <v>200.2</v>
      </c>
      <c r="C149" s="104"/>
      <c r="E149" s="52" t="s">
        <v>98</v>
      </c>
      <c r="V149" s="52" t="s">
        <v>713</v>
      </c>
    </row>
    <row r="150" spans="1:22">
      <c r="A150" s="3"/>
      <c r="B150" s="104"/>
      <c r="C150" s="104"/>
    </row>
    <row r="151" spans="1:22">
      <c r="A151" s="2" t="s">
        <v>334</v>
      </c>
      <c r="B151" s="46"/>
      <c r="C151" s="46"/>
    </row>
    <row r="152" spans="1:22">
      <c r="A152" s="103" t="s">
        <v>335</v>
      </c>
      <c r="B152" s="46">
        <f>'SA $ by prov 11-12'!B28</f>
        <v>176.8</v>
      </c>
      <c r="C152" s="46"/>
      <c r="E152" s="52" t="s">
        <v>996</v>
      </c>
    </row>
    <row r="153" spans="1:22">
      <c r="A153" s="103" t="s">
        <v>12</v>
      </c>
      <c r="B153" s="46">
        <f>149.1*0.55</f>
        <v>82.00500000000001</v>
      </c>
      <c r="C153" s="46" t="s">
        <v>437</v>
      </c>
      <c r="E153" s="278" t="s">
        <v>800</v>
      </c>
      <c r="V153" s="52" t="s">
        <v>789</v>
      </c>
    </row>
    <row r="154" spans="1:22">
      <c r="A154" s="115" t="s">
        <v>24</v>
      </c>
      <c r="B154" s="104">
        <f>SUM(B152:B153)</f>
        <v>258.80500000000001</v>
      </c>
      <c r="C154" s="104"/>
    </row>
    <row r="155" spans="1:22">
      <c r="A155" s="3"/>
      <c r="B155" s="104"/>
      <c r="C155" s="104"/>
    </row>
    <row r="156" spans="1:22">
      <c r="A156" s="107" t="s">
        <v>401</v>
      </c>
      <c r="B156" s="44">
        <f>'SA $ by prov 11-12'!B42</f>
        <v>579.79999999999995</v>
      </c>
      <c r="C156" s="104"/>
      <c r="E156" t="s">
        <v>616</v>
      </c>
    </row>
    <row r="157" spans="1:22">
      <c r="A157" s="3"/>
      <c r="B157" s="104"/>
      <c r="C157" s="104"/>
    </row>
    <row r="158" spans="1:22">
      <c r="A158" s="2" t="s">
        <v>13</v>
      </c>
      <c r="B158" s="46"/>
      <c r="C158" s="46"/>
    </row>
    <row r="159" spans="1:22">
      <c r="A159" t="s">
        <v>7</v>
      </c>
      <c r="B159" s="46">
        <v>352.1</v>
      </c>
      <c r="C159" s="46"/>
      <c r="E159" t="s">
        <v>547</v>
      </c>
      <c r="V159" s="145" t="s">
        <v>205</v>
      </c>
    </row>
    <row r="160" spans="1:22">
      <c r="A160" t="s">
        <v>8</v>
      </c>
      <c r="B160" s="46"/>
      <c r="C160" s="46"/>
      <c r="E160" t="s">
        <v>167</v>
      </c>
      <c r="V160" s="39" t="s">
        <v>206</v>
      </c>
    </row>
    <row r="161" spans="1:25">
      <c r="A161" s="3" t="s">
        <v>57</v>
      </c>
      <c r="B161" s="104">
        <f>SUM(B159:B160)</f>
        <v>352.1</v>
      </c>
      <c r="C161" s="104"/>
    </row>
    <row r="162" spans="1:25">
      <c r="A162" s="3"/>
      <c r="B162" s="104"/>
      <c r="C162" s="104"/>
    </row>
    <row r="163" spans="1:25">
      <c r="A163" t="s">
        <v>64</v>
      </c>
      <c r="B163" s="46"/>
      <c r="C163" s="46"/>
    </row>
    <row r="164" spans="1:25">
      <c r="A164" t="s">
        <v>9</v>
      </c>
      <c r="B164" s="46">
        <v>133</v>
      </c>
      <c r="C164" s="46"/>
      <c r="E164" t="s">
        <v>559</v>
      </c>
      <c r="V164" s="52" t="s">
        <v>762</v>
      </c>
    </row>
    <row r="165" spans="1:25">
      <c r="A165" t="s">
        <v>10</v>
      </c>
      <c r="B165" s="46">
        <v>477</v>
      </c>
      <c r="C165" s="46"/>
      <c r="E165" t="s">
        <v>559</v>
      </c>
      <c r="V165" t="s">
        <v>692</v>
      </c>
    </row>
    <row r="166" spans="1:25">
      <c r="A166" s="3" t="s">
        <v>24</v>
      </c>
      <c r="B166" s="104">
        <f>SUM(B164:B165)</f>
        <v>610</v>
      </c>
      <c r="C166" s="104"/>
      <c r="E166" t="s">
        <v>378</v>
      </c>
    </row>
    <row r="167" spans="1:25">
      <c r="B167" s="46"/>
      <c r="C167" s="46"/>
    </row>
    <row r="168" spans="1:25" ht="15.75">
      <c r="A168" s="4" t="s">
        <v>23</v>
      </c>
      <c r="B168" s="49">
        <f>SUM(B141+B147+B149+B153+B152+B156+B161+B166)</f>
        <v>2723.2356</v>
      </c>
      <c r="C168" s="49"/>
    </row>
    <row r="169" spans="1:25">
      <c r="V169" s="224" t="s">
        <v>687</v>
      </c>
      <c r="W169" s="223"/>
      <c r="X169" s="223"/>
      <c r="Y169" s="223"/>
    </row>
    <row r="170" spans="1:25">
      <c r="V170" s="224"/>
      <c r="W170" s="223"/>
      <c r="X170" s="223"/>
      <c r="Y170" s="223"/>
    </row>
    <row r="171" spans="1:25">
      <c r="B171" s="41" t="s">
        <v>392</v>
      </c>
      <c r="C171" s="41"/>
      <c r="V171" s="224"/>
      <c r="W171" s="223"/>
      <c r="X171" s="223"/>
      <c r="Y171" s="223"/>
    </row>
    <row r="172" spans="1:25">
      <c r="B172" s="41" t="s">
        <v>823</v>
      </c>
      <c r="C172" s="41"/>
      <c r="V172" s="224"/>
      <c r="W172" s="223"/>
      <c r="X172" s="223"/>
      <c r="Y172" s="223"/>
    </row>
    <row r="173" spans="1:25">
      <c r="B173" s="41" t="s">
        <v>16</v>
      </c>
      <c r="C173" s="41"/>
      <c r="V173" s="224"/>
      <c r="W173" s="223"/>
      <c r="X173" s="223"/>
      <c r="Y173" s="223"/>
    </row>
    <row r="174" spans="1:25">
      <c r="A174" s="2" t="s">
        <v>11</v>
      </c>
      <c r="B174" s="106"/>
      <c r="C174" s="106"/>
      <c r="V174" s="224"/>
      <c r="W174" s="223"/>
      <c r="X174" s="223"/>
      <c r="Y174" s="223"/>
    </row>
    <row r="175" spans="1:25">
      <c r="B175" s="106"/>
      <c r="C175" s="106"/>
      <c r="V175" s="224"/>
      <c r="W175" s="223"/>
      <c r="X175" s="223"/>
      <c r="Y175" s="223"/>
    </row>
    <row r="176" spans="1:25">
      <c r="A176" t="s">
        <v>0</v>
      </c>
      <c r="B176" s="46">
        <f>'CAN Disability details 12-13'!B6*0.112</f>
        <v>77.28</v>
      </c>
      <c r="C176" s="46"/>
      <c r="E176" t="s">
        <v>811</v>
      </c>
      <c r="V176" s="224"/>
      <c r="W176" s="223"/>
      <c r="X176" s="223"/>
      <c r="Y176" s="223"/>
    </row>
    <row r="177" spans="1:25">
      <c r="A177" t="s">
        <v>1</v>
      </c>
      <c r="B177" s="46">
        <f>'CAN Disability details 12-13'!B7*0.112</f>
        <v>134.4</v>
      </c>
      <c r="C177" s="46"/>
      <c r="E177" t="s">
        <v>218</v>
      </c>
      <c r="I177" t="s">
        <v>93</v>
      </c>
      <c r="V177" s="224"/>
      <c r="W177" s="223"/>
      <c r="X177" s="223"/>
      <c r="Y177" s="223"/>
    </row>
    <row r="178" spans="1:25">
      <c r="A178" t="s">
        <v>14</v>
      </c>
      <c r="B178" s="46">
        <f>'CAN Disability details 12-13'!B8*0.112</f>
        <v>11.76</v>
      </c>
      <c r="C178" s="46"/>
      <c r="E178" s="52" t="s">
        <v>1001</v>
      </c>
      <c r="V178" s="224"/>
      <c r="W178" s="223"/>
      <c r="X178" s="223"/>
      <c r="Y178" s="223"/>
    </row>
    <row r="179" spans="1:25">
      <c r="A179" t="s">
        <v>2</v>
      </c>
      <c r="B179" s="46">
        <f>'CAN Disability details 12-13'!B9*0.112</f>
        <v>0.56000000000000005</v>
      </c>
      <c r="C179" s="46"/>
      <c r="V179" s="224"/>
      <c r="W179" s="223"/>
      <c r="X179" s="223"/>
      <c r="Y179" s="223"/>
    </row>
    <row r="180" spans="1:25">
      <c r="A180" t="s">
        <v>68</v>
      </c>
      <c r="B180" s="46">
        <f>'CAN Disability details 12-13'!B10*0.112</f>
        <v>0</v>
      </c>
      <c r="C180" s="46"/>
      <c r="V180" s="224"/>
      <c r="W180" s="223"/>
      <c r="X180" s="223"/>
      <c r="Y180" s="223"/>
    </row>
    <row r="181" spans="1:25">
      <c r="A181" t="s">
        <v>3</v>
      </c>
      <c r="B181" s="46">
        <f>'CAN Disability details 12-13'!B11*0.112</f>
        <v>15.68</v>
      </c>
      <c r="C181" s="46"/>
      <c r="V181" s="224"/>
      <c r="W181" s="223"/>
      <c r="X181" s="223"/>
      <c r="Y181" s="223"/>
    </row>
    <row r="182" spans="1:25">
      <c r="A182" t="s">
        <v>15</v>
      </c>
      <c r="B182" s="46">
        <f>'CAN Disability details 12-13'!B12*0.112</f>
        <v>29.621760000000002</v>
      </c>
      <c r="C182" s="46"/>
      <c r="E182" s="248" t="s">
        <v>901</v>
      </c>
      <c r="F182" s="249"/>
      <c r="G182" s="249"/>
      <c r="H182" s="249"/>
      <c r="I182" s="30"/>
      <c r="J182" s="30"/>
      <c r="K182" s="30"/>
      <c r="L182" s="30"/>
      <c r="M182" s="30"/>
      <c r="N182" s="30"/>
      <c r="O182" s="30"/>
      <c r="P182" s="30"/>
      <c r="Q182" s="171"/>
      <c r="V182" s="224"/>
      <c r="W182" s="223"/>
      <c r="X182" s="223"/>
      <c r="Y182" s="223"/>
    </row>
    <row r="183" spans="1:25">
      <c r="A183" s="3" t="s">
        <v>24</v>
      </c>
      <c r="B183" s="104">
        <f>SUM(B176:B182)</f>
        <v>269.30176</v>
      </c>
      <c r="C183" s="104"/>
      <c r="E183" s="6"/>
      <c r="Q183" s="111"/>
      <c r="V183" s="224"/>
      <c r="W183" s="223"/>
      <c r="X183" s="223"/>
      <c r="Y183" s="223"/>
    </row>
    <row r="184" spans="1:25">
      <c r="B184" s="46"/>
      <c r="C184" s="46"/>
      <c r="Q184" s="29"/>
      <c r="V184" s="224"/>
      <c r="W184" s="223"/>
      <c r="X184" s="223"/>
      <c r="Y184" s="223"/>
    </row>
    <row r="185" spans="1:25">
      <c r="A185" s="2" t="s">
        <v>4</v>
      </c>
      <c r="B185" s="46"/>
      <c r="C185" s="46"/>
      <c r="Q185" s="29"/>
      <c r="V185" s="224"/>
      <c r="W185" s="223"/>
      <c r="X185" s="223"/>
      <c r="Y185" s="223"/>
    </row>
    <row r="186" spans="1:25">
      <c r="A186" t="s">
        <v>5</v>
      </c>
      <c r="B186" s="46">
        <v>401.8</v>
      </c>
      <c r="C186" s="46"/>
      <c r="E186" s="52" t="s">
        <v>747</v>
      </c>
      <c r="F186" s="30"/>
      <c r="G186" s="30"/>
      <c r="H186" s="30"/>
      <c r="I186" s="30"/>
      <c r="J186" s="30"/>
      <c r="K186" s="30"/>
      <c r="L186" s="30"/>
      <c r="M186" s="30"/>
      <c r="N186" s="30"/>
      <c r="O186" s="30"/>
      <c r="P186" s="30"/>
      <c r="Q186" s="172"/>
      <c r="V186" s="224"/>
      <c r="W186" s="223"/>
      <c r="X186" s="223"/>
      <c r="Y186" s="223"/>
    </row>
    <row r="187" spans="1:25" ht="13.5" customHeight="1">
      <c r="A187" t="s">
        <v>69</v>
      </c>
      <c r="B187" s="105"/>
      <c r="C187" s="105"/>
      <c r="E187" s="300"/>
      <c r="F187" s="300"/>
      <c r="G187" s="300"/>
      <c r="H187" s="300"/>
      <c r="I187" s="300"/>
      <c r="J187" s="300"/>
      <c r="K187" s="300"/>
      <c r="L187" s="300"/>
      <c r="M187" s="300"/>
      <c r="N187" s="300"/>
      <c r="O187" s="300"/>
      <c r="P187" s="300"/>
      <c r="Q187" s="172"/>
      <c r="V187" s="224"/>
      <c r="W187" s="223"/>
      <c r="X187" s="223"/>
      <c r="Y187" s="223"/>
    </row>
    <row r="188" spans="1:25">
      <c r="A188" t="s">
        <v>6</v>
      </c>
      <c r="B188" s="46">
        <v>98.8</v>
      </c>
      <c r="C188" s="46"/>
      <c r="E188" s="120" t="s">
        <v>694</v>
      </c>
      <c r="F188" s="103"/>
      <c r="G188" s="103"/>
      <c r="H188" s="103"/>
      <c r="I188" s="103"/>
      <c r="J188" s="103"/>
      <c r="K188" s="103"/>
      <c r="L188" s="103"/>
      <c r="M188" s="103"/>
      <c r="N188" s="103"/>
      <c r="O188" s="103"/>
      <c r="P188" s="103"/>
      <c r="Q188" s="111"/>
      <c r="V188" s="224"/>
      <c r="W188" s="223"/>
      <c r="X188" s="223"/>
      <c r="Y188" s="223"/>
    </row>
    <row r="189" spans="1:25">
      <c r="A189" s="3" t="s">
        <v>24</v>
      </c>
      <c r="B189" s="104">
        <f>SUM(B186:B188)</f>
        <v>500.6</v>
      </c>
      <c r="C189" s="104"/>
      <c r="V189" s="224"/>
      <c r="W189" s="223"/>
      <c r="X189" s="223"/>
      <c r="Y189" s="223"/>
    </row>
    <row r="190" spans="1:25">
      <c r="A190" s="3"/>
      <c r="B190" s="104"/>
      <c r="C190" s="104"/>
      <c r="V190" s="224"/>
      <c r="W190" s="223"/>
      <c r="X190" s="223"/>
      <c r="Y190" s="223"/>
    </row>
    <row r="191" spans="1:25">
      <c r="A191" s="52" t="s">
        <v>101</v>
      </c>
      <c r="B191" s="46">
        <v>156</v>
      </c>
      <c r="C191" s="104"/>
      <c r="V191" s="224"/>
      <c r="W191" s="223"/>
      <c r="X191" s="223"/>
      <c r="Y191" s="223"/>
    </row>
    <row r="192" spans="1:25">
      <c r="A192" s="52" t="s">
        <v>924</v>
      </c>
      <c r="B192" s="46">
        <v>42.5</v>
      </c>
      <c r="C192" s="46"/>
      <c r="V192" s="224"/>
      <c r="W192" s="223"/>
      <c r="X192" s="223"/>
      <c r="Y192" s="223"/>
    </row>
    <row r="193" spans="1:25">
      <c r="A193" s="2" t="s">
        <v>478</v>
      </c>
      <c r="B193" s="44">
        <f>SUM(B191:B192)</f>
        <v>198.5</v>
      </c>
      <c r="C193" s="104"/>
      <c r="E193" s="52" t="s">
        <v>98</v>
      </c>
      <c r="V193" s="224"/>
      <c r="W193" s="223"/>
      <c r="X193" s="223"/>
      <c r="Y193" s="223"/>
    </row>
    <row r="194" spans="1:25">
      <c r="A194" s="3"/>
      <c r="B194" s="104"/>
      <c r="C194" s="104"/>
      <c r="V194" s="224"/>
      <c r="W194" s="223"/>
      <c r="X194" s="223"/>
      <c r="Y194" s="223"/>
    </row>
    <row r="195" spans="1:25">
      <c r="A195" s="2" t="s">
        <v>334</v>
      </c>
      <c r="B195" s="46"/>
      <c r="C195" s="46"/>
      <c r="V195" s="224"/>
      <c r="W195" s="223"/>
      <c r="X195" s="223"/>
      <c r="Y195" s="223"/>
    </row>
    <row r="196" spans="1:25">
      <c r="A196" s="103" t="s">
        <v>335</v>
      </c>
      <c r="B196" s="46">
        <f>'SA $ by prov 12-13'!B28</f>
        <v>194.9</v>
      </c>
      <c r="C196" s="46"/>
      <c r="E196" s="52" t="s">
        <v>997</v>
      </c>
      <c r="V196" s="224"/>
      <c r="W196" s="223"/>
      <c r="X196" s="223"/>
      <c r="Y196" s="223"/>
    </row>
    <row r="197" spans="1:25">
      <c r="A197" s="103" t="s">
        <v>12</v>
      </c>
      <c r="B197" s="46">
        <f>152.2*0.57</f>
        <v>86.753999999999991</v>
      </c>
      <c r="C197" s="46" t="s">
        <v>437</v>
      </c>
      <c r="E197" s="278" t="s">
        <v>1014</v>
      </c>
      <c r="V197" s="224"/>
      <c r="W197" s="223"/>
      <c r="X197" s="223"/>
      <c r="Y197" s="223"/>
    </row>
    <row r="198" spans="1:25">
      <c r="A198" s="115" t="s">
        <v>24</v>
      </c>
      <c r="B198" s="104">
        <f>SUM(B196:B197)</f>
        <v>281.654</v>
      </c>
      <c r="C198" s="104"/>
      <c r="V198" s="224"/>
      <c r="W198" s="223"/>
      <c r="X198" s="223"/>
      <c r="Y198" s="223"/>
    </row>
    <row r="199" spans="1:25">
      <c r="A199" s="3"/>
      <c r="B199" s="104"/>
      <c r="C199" s="104"/>
      <c r="V199" s="224"/>
      <c r="W199" s="223"/>
      <c r="X199" s="223"/>
      <c r="Y199" s="223"/>
    </row>
    <row r="200" spans="1:25">
      <c r="A200" s="107" t="s">
        <v>401</v>
      </c>
      <c r="B200" s="44">
        <f>'SA $ by prov 12-13'!B42</f>
        <v>820</v>
      </c>
      <c r="C200" s="104"/>
      <c r="E200" s="52" t="s">
        <v>998</v>
      </c>
      <c r="V200" s="224"/>
      <c r="W200" s="223"/>
      <c r="X200" s="223"/>
      <c r="Y200" s="223"/>
    </row>
    <row r="201" spans="1:25">
      <c r="A201" s="3"/>
      <c r="B201" s="104"/>
      <c r="C201" s="104"/>
      <c r="V201" s="224"/>
      <c r="W201" s="223"/>
      <c r="X201" s="223"/>
      <c r="Y201" s="223"/>
    </row>
    <row r="202" spans="1:25">
      <c r="A202" s="2" t="s">
        <v>13</v>
      </c>
      <c r="B202" s="46"/>
      <c r="C202" s="46"/>
      <c r="V202" s="224"/>
      <c r="W202" s="223"/>
      <c r="X202" s="223"/>
      <c r="Y202" s="223"/>
    </row>
    <row r="203" spans="1:25">
      <c r="A203" t="s">
        <v>7</v>
      </c>
      <c r="B203" s="46">
        <v>352.9</v>
      </c>
      <c r="C203" s="46"/>
      <c r="E203" s="52" t="s">
        <v>973</v>
      </c>
      <c r="V203" s="224"/>
      <c r="W203" s="223"/>
      <c r="X203" s="223"/>
      <c r="Y203" s="223"/>
    </row>
    <row r="204" spans="1:25">
      <c r="A204" t="s">
        <v>8</v>
      </c>
      <c r="B204" s="46"/>
      <c r="C204" s="46"/>
      <c r="E204" t="s">
        <v>167</v>
      </c>
      <c r="V204" s="224"/>
      <c r="W204" s="223"/>
      <c r="X204" s="223"/>
      <c r="Y204" s="223"/>
    </row>
    <row r="205" spans="1:25">
      <c r="A205" s="3" t="s">
        <v>57</v>
      </c>
      <c r="B205" s="104">
        <f>SUM(B203:B204)</f>
        <v>352.9</v>
      </c>
      <c r="C205" s="104"/>
      <c r="V205" s="224"/>
      <c r="W205" s="223"/>
      <c r="X205" s="223"/>
      <c r="Y205" s="223"/>
    </row>
    <row r="206" spans="1:25">
      <c r="A206" s="3"/>
      <c r="B206" s="104"/>
      <c r="C206" s="104"/>
      <c r="V206" s="224"/>
      <c r="W206" s="223"/>
      <c r="X206" s="223"/>
      <c r="Y206" s="223"/>
    </row>
    <row r="207" spans="1:25">
      <c r="A207" t="s">
        <v>64</v>
      </c>
      <c r="B207" s="46"/>
      <c r="C207" s="46"/>
      <c r="V207" s="224"/>
      <c r="W207" s="223"/>
      <c r="X207" s="223"/>
      <c r="Y207" s="223"/>
    </row>
    <row r="208" spans="1:25">
      <c r="A208" t="s">
        <v>9</v>
      </c>
      <c r="B208" s="46">
        <v>141</v>
      </c>
      <c r="C208" s="46"/>
      <c r="E208" s="52" t="s">
        <v>999</v>
      </c>
      <c r="V208" s="224"/>
      <c r="W208" s="223"/>
      <c r="X208" s="223"/>
      <c r="Y208" s="223"/>
    </row>
    <row r="209" spans="1:25">
      <c r="A209" t="s">
        <v>10</v>
      </c>
      <c r="B209" s="46">
        <v>496</v>
      </c>
      <c r="C209" s="46"/>
      <c r="E209" s="52" t="s">
        <v>999</v>
      </c>
      <c r="V209" s="224"/>
      <c r="W209" s="223"/>
      <c r="X209" s="223"/>
      <c r="Y209" s="223"/>
    </row>
    <row r="210" spans="1:25">
      <c r="A210" s="3" t="s">
        <v>24</v>
      </c>
      <c r="B210" s="104">
        <f>SUM(B208:B209)</f>
        <v>637</v>
      </c>
      <c r="C210" s="104"/>
      <c r="E210" t="s">
        <v>378</v>
      </c>
      <c r="V210" s="224"/>
      <c r="W210" s="223"/>
      <c r="X210" s="223"/>
      <c r="Y210" s="223"/>
    </row>
    <row r="211" spans="1:25">
      <c r="B211" s="46"/>
      <c r="C211" s="46"/>
      <c r="V211" s="224"/>
      <c r="W211" s="223"/>
      <c r="X211" s="223"/>
      <c r="Y211" s="223"/>
    </row>
    <row r="212" spans="1:25" ht="15.75">
      <c r="A212" s="4" t="s">
        <v>23</v>
      </c>
      <c r="B212" s="49">
        <f>SUM(B183+B189+B193+B198+B200+B205+B210)</f>
        <v>3059.9557600000003</v>
      </c>
      <c r="C212" s="49"/>
      <c r="V212" s="224"/>
      <c r="W212" s="223"/>
      <c r="X212" s="223"/>
      <c r="Y212" s="223"/>
    </row>
    <row r="213" spans="1:25" ht="15.75">
      <c r="A213" s="4"/>
      <c r="B213" s="49"/>
      <c r="C213" s="49"/>
      <c r="V213" s="224"/>
      <c r="W213" s="223"/>
      <c r="X213" s="223"/>
      <c r="Y213" s="223"/>
    </row>
    <row r="214" spans="1:25" ht="15.75">
      <c r="A214" s="4"/>
      <c r="B214" s="49"/>
      <c r="C214" s="49"/>
      <c r="V214" s="224"/>
      <c r="W214" s="223"/>
      <c r="X214" s="223"/>
      <c r="Y214" s="223"/>
    </row>
    <row r="215" spans="1:25">
      <c r="V215" s="224"/>
      <c r="W215" s="223"/>
      <c r="X215" s="223"/>
      <c r="Y215" s="223"/>
    </row>
    <row r="216" spans="1:25">
      <c r="B216" s="41" t="s">
        <v>392</v>
      </c>
      <c r="C216" s="41"/>
      <c r="V216" s="224"/>
      <c r="W216" s="223"/>
      <c r="X216" s="223"/>
      <c r="Y216" s="223"/>
    </row>
    <row r="217" spans="1:25">
      <c r="B217" s="41" t="s">
        <v>824</v>
      </c>
      <c r="C217" s="41"/>
      <c r="V217" s="224"/>
      <c r="W217" s="223"/>
      <c r="X217" s="223"/>
      <c r="Y217" s="223"/>
    </row>
    <row r="218" spans="1:25">
      <c r="B218" s="41" t="s">
        <v>16</v>
      </c>
      <c r="C218" s="41"/>
      <c r="V218" s="224"/>
      <c r="W218" s="223"/>
      <c r="X218" s="223"/>
      <c r="Y218" s="223"/>
    </row>
    <row r="219" spans="1:25">
      <c r="A219" s="2" t="s">
        <v>11</v>
      </c>
      <c r="B219" s="106"/>
      <c r="C219" s="106"/>
      <c r="V219" s="224"/>
      <c r="W219" s="223"/>
      <c r="X219" s="223"/>
      <c r="Y219" s="223"/>
    </row>
    <row r="220" spans="1:25">
      <c r="B220" s="106"/>
      <c r="C220" s="106"/>
      <c r="V220" s="224"/>
      <c r="W220" s="223"/>
      <c r="X220" s="223"/>
      <c r="Y220" s="223"/>
    </row>
    <row r="221" spans="1:25">
      <c r="A221" t="s">
        <v>0</v>
      </c>
      <c r="B221" s="46">
        <f>'CAN Disability detailes 13-14'!B6*0.114</f>
        <v>82.08</v>
      </c>
      <c r="C221" s="46"/>
      <c r="E221" t="s">
        <v>811</v>
      </c>
      <c r="V221" s="224"/>
      <c r="W221" s="223"/>
      <c r="X221" s="223"/>
      <c r="Y221" s="223"/>
    </row>
    <row r="222" spans="1:25">
      <c r="A222" t="s">
        <v>1</v>
      </c>
      <c r="B222" s="46">
        <f>'CAN Disability detailes 13-14'!B7*0.114</f>
        <v>147.63</v>
      </c>
      <c r="C222" s="46"/>
      <c r="E222" t="s">
        <v>218</v>
      </c>
      <c r="I222" t="s">
        <v>93</v>
      </c>
      <c r="V222" s="224"/>
      <c r="W222" s="223"/>
      <c r="X222" s="223"/>
      <c r="Y222" s="223"/>
    </row>
    <row r="223" spans="1:25">
      <c r="A223" t="s">
        <v>14</v>
      </c>
      <c r="B223" s="46">
        <f>'CAN Disability detailes 13-14'!B8*0.114</f>
        <v>12.540000000000001</v>
      </c>
      <c r="C223" s="46"/>
      <c r="E223" s="52" t="s">
        <v>1000</v>
      </c>
      <c r="V223" s="224"/>
      <c r="W223" s="223"/>
      <c r="X223" s="223"/>
      <c r="Y223" s="223"/>
    </row>
    <row r="224" spans="1:25">
      <c r="A224" t="s">
        <v>2</v>
      </c>
      <c r="B224" s="46">
        <f>'CAN Disability detailes 13-14'!B9*0.114</f>
        <v>0.68400000000000005</v>
      </c>
      <c r="C224" s="46"/>
      <c r="V224" s="224"/>
      <c r="W224" s="223"/>
      <c r="X224" s="223"/>
      <c r="Y224" s="223"/>
    </row>
    <row r="225" spans="1:25">
      <c r="A225" t="s">
        <v>68</v>
      </c>
      <c r="B225" s="46">
        <f>'CAN Disability detailes 13-14'!B10*0.114</f>
        <v>0</v>
      </c>
      <c r="C225" s="46"/>
      <c r="V225" s="224"/>
      <c r="W225" s="223"/>
      <c r="X225" s="223"/>
      <c r="Y225" s="223"/>
    </row>
    <row r="226" spans="1:25">
      <c r="A226" t="s">
        <v>3</v>
      </c>
      <c r="B226" s="46">
        <f>'CAN Disability detailes 13-14'!B11*0.114</f>
        <v>16.53</v>
      </c>
      <c r="C226" s="46"/>
      <c r="V226" s="224"/>
      <c r="W226" s="223"/>
      <c r="X226" s="223"/>
      <c r="Y226" s="223"/>
    </row>
    <row r="227" spans="1:25">
      <c r="A227" t="s">
        <v>15</v>
      </c>
      <c r="B227" s="46">
        <f>'CAN Disability detailes 13-14'!B12*0.114</f>
        <v>28.001250000000002</v>
      </c>
      <c r="C227" s="46"/>
      <c r="E227" s="248" t="s">
        <v>908</v>
      </c>
      <c r="F227" s="249"/>
      <c r="G227" s="249"/>
      <c r="H227" s="249"/>
      <c r="I227" s="30"/>
      <c r="J227" s="30"/>
      <c r="K227" s="30"/>
      <c r="L227" s="30"/>
      <c r="M227" s="30"/>
      <c r="N227" s="30"/>
      <c r="O227" s="30"/>
      <c r="P227" s="30"/>
      <c r="V227" s="224"/>
      <c r="W227" s="223"/>
      <c r="X227" s="223"/>
      <c r="Y227" s="223"/>
    </row>
    <row r="228" spans="1:25">
      <c r="A228" s="3" t="s">
        <v>24</v>
      </c>
      <c r="B228" s="104">
        <f>SUM(B221:B227)</f>
        <v>287.46524999999997</v>
      </c>
      <c r="C228" s="104"/>
      <c r="E228" s="6"/>
      <c r="V228" s="224"/>
      <c r="W228" s="223"/>
      <c r="X228" s="223"/>
      <c r="Y228" s="223"/>
    </row>
    <row r="229" spans="1:25">
      <c r="B229" s="46"/>
      <c r="C229" s="46"/>
      <c r="V229" s="224"/>
      <c r="W229" s="223"/>
      <c r="X229" s="223"/>
      <c r="Y229" s="223"/>
    </row>
    <row r="230" spans="1:25">
      <c r="A230" s="2" t="s">
        <v>4</v>
      </c>
      <c r="B230" s="46"/>
      <c r="C230" s="46"/>
      <c r="V230" s="224"/>
      <c r="W230" s="223"/>
      <c r="X230" s="223"/>
      <c r="Y230" s="223"/>
    </row>
    <row r="231" spans="1:25">
      <c r="A231" t="s">
        <v>5</v>
      </c>
      <c r="B231" s="46">
        <v>412.1</v>
      </c>
      <c r="C231" s="46"/>
      <c r="E231" s="52" t="s">
        <v>747</v>
      </c>
      <c r="F231" s="30"/>
      <c r="G231" s="30"/>
      <c r="H231" s="30"/>
      <c r="I231" s="30"/>
      <c r="J231" s="30"/>
      <c r="K231" s="30"/>
      <c r="L231" s="30"/>
      <c r="M231" s="30"/>
      <c r="N231" s="30"/>
      <c r="O231" s="30"/>
      <c r="P231" s="30"/>
      <c r="V231" s="224"/>
      <c r="W231" s="223"/>
      <c r="X231" s="223"/>
      <c r="Y231" s="223"/>
    </row>
    <row r="232" spans="1:25">
      <c r="A232" t="s">
        <v>69</v>
      </c>
      <c r="B232" s="105"/>
      <c r="C232" s="105"/>
      <c r="E232" s="300"/>
      <c r="F232" s="300"/>
      <c r="G232" s="300"/>
      <c r="H232" s="300"/>
      <c r="I232" s="300"/>
      <c r="J232" s="300"/>
      <c r="K232" s="300"/>
      <c r="L232" s="300"/>
      <c r="M232" s="300"/>
      <c r="N232" s="300"/>
      <c r="O232" s="300"/>
      <c r="P232" s="300"/>
      <c r="V232" s="224"/>
      <c r="W232" s="223"/>
      <c r="X232" s="223"/>
      <c r="Y232" s="223"/>
    </row>
    <row r="233" spans="1:25" ht="12.75" customHeight="1">
      <c r="A233" t="s">
        <v>6</v>
      </c>
      <c r="B233" s="46">
        <v>107.5</v>
      </c>
      <c r="C233" s="46"/>
      <c r="E233" s="120" t="s">
        <v>694</v>
      </c>
      <c r="F233" s="103"/>
      <c r="G233" s="103"/>
      <c r="H233" s="103"/>
      <c r="I233" s="103"/>
      <c r="J233" s="103"/>
      <c r="K233" s="103"/>
      <c r="L233" s="103"/>
      <c r="M233" s="103"/>
      <c r="N233" s="103"/>
      <c r="O233" s="103"/>
      <c r="P233" s="103"/>
      <c r="V233" s="224"/>
      <c r="W233" s="223"/>
      <c r="X233" s="223"/>
      <c r="Y233" s="223"/>
    </row>
    <row r="234" spans="1:25" ht="12.75" customHeight="1">
      <c r="A234" s="3" t="s">
        <v>24</v>
      </c>
      <c r="B234" s="104">
        <f>SUM(B231:B233)</f>
        <v>519.6</v>
      </c>
      <c r="C234" s="104"/>
      <c r="V234" s="224"/>
      <c r="W234" s="223"/>
      <c r="X234" s="223"/>
      <c r="Y234" s="223"/>
    </row>
    <row r="235" spans="1:25" ht="12.75" customHeight="1">
      <c r="A235" s="3"/>
      <c r="B235" s="104"/>
      <c r="C235" s="104"/>
      <c r="V235" s="224"/>
      <c r="W235" s="223"/>
      <c r="X235" s="223"/>
      <c r="Y235" s="223"/>
    </row>
    <row r="236" spans="1:25" ht="12.75" customHeight="1">
      <c r="A236" s="52" t="s">
        <v>101</v>
      </c>
      <c r="B236" s="46">
        <v>149.30000000000001</v>
      </c>
      <c r="C236" s="104"/>
      <c r="V236" s="224"/>
      <c r="W236" s="223"/>
      <c r="X236" s="223"/>
      <c r="Y236" s="223"/>
    </row>
    <row r="237" spans="1:25">
      <c r="A237" s="52" t="s">
        <v>924</v>
      </c>
      <c r="B237" s="46">
        <v>47.1</v>
      </c>
      <c r="C237" s="46"/>
      <c r="V237" s="224"/>
      <c r="W237" s="223"/>
      <c r="X237" s="223"/>
      <c r="Y237" s="223"/>
    </row>
    <row r="238" spans="1:25">
      <c r="A238" s="2" t="s">
        <v>478</v>
      </c>
      <c r="B238" s="44">
        <f>SUM(B236:B237)</f>
        <v>196.4</v>
      </c>
      <c r="C238" s="104"/>
      <c r="E238" s="52" t="s">
        <v>98</v>
      </c>
      <c r="V238" s="224"/>
      <c r="W238" s="223"/>
      <c r="X238" s="223"/>
      <c r="Y238" s="223"/>
    </row>
    <row r="239" spans="1:25">
      <c r="A239" s="3"/>
      <c r="B239" s="104"/>
      <c r="C239" s="104"/>
      <c r="V239" s="224"/>
      <c r="W239" s="223"/>
      <c r="X239" s="223"/>
      <c r="Y239" s="223"/>
    </row>
    <row r="240" spans="1:25">
      <c r="A240" s="2" t="s">
        <v>334</v>
      </c>
      <c r="B240" s="46"/>
      <c r="C240" s="46"/>
      <c r="V240" s="224"/>
      <c r="W240" s="223"/>
      <c r="X240" s="223"/>
      <c r="Y240" s="223"/>
    </row>
    <row r="241" spans="1:25">
      <c r="A241" s="103" t="s">
        <v>335</v>
      </c>
      <c r="B241" s="46">
        <f>'SA $ by prov 13-14'!B28</f>
        <v>203.9</v>
      </c>
      <c r="C241" s="46"/>
      <c r="E241" t="s">
        <v>1015</v>
      </c>
      <c r="V241" s="224"/>
      <c r="W241" s="223"/>
      <c r="X241" s="223"/>
      <c r="Y241" s="223"/>
    </row>
    <row r="242" spans="1:25">
      <c r="A242" s="103" t="s">
        <v>12</v>
      </c>
      <c r="B242" s="46">
        <f>156*0.59</f>
        <v>92.039999999999992</v>
      </c>
      <c r="C242" s="46" t="s">
        <v>437</v>
      </c>
      <c r="E242" s="106" t="s">
        <v>1016</v>
      </c>
      <c r="V242" s="224"/>
      <c r="W242" s="223"/>
      <c r="X242" s="223"/>
      <c r="Y242" s="223"/>
    </row>
    <row r="243" spans="1:25">
      <c r="A243" s="115" t="s">
        <v>24</v>
      </c>
      <c r="B243" s="104">
        <f>SUM(B241:B242)</f>
        <v>295.94</v>
      </c>
      <c r="C243" s="104"/>
      <c r="V243" s="224"/>
      <c r="W243" s="223"/>
      <c r="X243" s="223"/>
      <c r="Y243" s="223"/>
    </row>
    <row r="244" spans="1:25">
      <c r="A244" s="3"/>
      <c r="B244" s="104"/>
      <c r="C244" s="104"/>
      <c r="V244" s="224"/>
      <c r="W244" s="223"/>
      <c r="X244" s="223"/>
      <c r="Y244" s="223"/>
    </row>
    <row r="245" spans="1:25">
      <c r="A245" s="107" t="s">
        <v>401</v>
      </c>
      <c r="B245" s="44">
        <f>'SA $ by prov 13-14'!B42</f>
        <v>858</v>
      </c>
      <c r="C245" s="104"/>
      <c r="E245" t="s">
        <v>1020</v>
      </c>
      <c r="V245" s="224"/>
      <c r="W245" s="223"/>
      <c r="X245" s="223"/>
      <c r="Y245" s="223"/>
    </row>
    <row r="246" spans="1:25">
      <c r="A246" s="3"/>
      <c r="B246" s="104"/>
      <c r="C246" s="104"/>
      <c r="V246" s="224"/>
      <c r="W246" s="223"/>
      <c r="X246" s="223"/>
      <c r="Y246" s="223"/>
    </row>
    <row r="247" spans="1:25">
      <c r="A247" s="2" t="s">
        <v>13</v>
      </c>
      <c r="B247" s="46"/>
      <c r="C247" s="46"/>
      <c r="V247" s="224"/>
      <c r="W247" s="223"/>
      <c r="X247" s="223"/>
      <c r="Y247" s="223"/>
    </row>
    <row r="248" spans="1:25">
      <c r="A248" t="s">
        <v>7</v>
      </c>
      <c r="B248" s="46">
        <v>361.3</v>
      </c>
      <c r="C248" s="46"/>
      <c r="E248" s="52" t="s">
        <v>974</v>
      </c>
      <c r="V248" s="224"/>
      <c r="W248" s="223"/>
      <c r="X248" s="223"/>
      <c r="Y248" s="223"/>
    </row>
    <row r="249" spans="1:25">
      <c r="A249" t="s">
        <v>8</v>
      </c>
      <c r="B249" s="46"/>
      <c r="C249" s="46"/>
      <c r="E249" s="52" t="s">
        <v>1002</v>
      </c>
      <c r="V249" s="224"/>
      <c r="W249" s="223"/>
      <c r="X249" s="223"/>
      <c r="Y249" s="223"/>
    </row>
    <row r="250" spans="1:25">
      <c r="A250" s="3" t="s">
        <v>57</v>
      </c>
      <c r="B250" s="104">
        <f>SUM(B248:B249)</f>
        <v>361.3</v>
      </c>
      <c r="C250" s="104"/>
      <c r="V250" s="224"/>
      <c r="W250" s="223"/>
      <c r="X250" s="223"/>
      <c r="Y250" s="223"/>
    </row>
    <row r="251" spans="1:25">
      <c r="A251" s="3"/>
      <c r="B251" s="104"/>
      <c r="C251" s="104"/>
      <c r="V251" s="224"/>
      <c r="W251" s="223"/>
      <c r="X251" s="223"/>
      <c r="Y251" s="223"/>
    </row>
    <row r="252" spans="1:25">
      <c r="A252" t="s">
        <v>64</v>
      </c>
      <c r="B252" s="46"/>
      <c r="C252" s="46"/>
      <c r="V252" s="224"/>
      <c r="W252" s="223"/>
      <c r="X252" s="223"/>
      <c r="Y252" s="223"/>
    </row>
    <row r="253" spans="1:25">
      <c r="A253" t="s">
        <v>9</v>
      </c>
      <c r="B253" s="46">
        <v>131</v>
      </c>
      <c r="C253" s="46"/>
      <c r="E253" s="52" t="s">
        <v>1003</v>
      </c>
      <c r="V253" s="224"/>
      <c r="W253" s="223"/>
      <c r="X253" s="223"/>
      <c r="Y253" s="223"/>
    </row>
    <row r="254" spans="1:25">
      <c r="A254" t="s">
        <v>10</v>
      </c>
      <c r="B254" s="46">
        <v>569</v>
      </c>
      <c r="C254" s="46"/>
      <c r="E254" s="52" t="s">
        <v>1003</v>
      </c>
      <c r="V254" s="224"/>
      <c r="W254" s="223"/>
      <c r="X254" s="223"/>
      <c r="Y254" s="223"/>
    </row>
    <row r="255" spans="1:25">
      <c r="A255" s="3" t="s">
        <v>24</v>
      </c>
      <c r="B255" s="104">
        <f>SUM(B253:B254)</f>
        <v>700</v>
      </c>
      <c r="C255" s="104"/>
      <c r="E255" t="s">
        <v>378</v>
      </c>
      <c r="V255" s="224"/>
      <c r="W255" s="223"/>
      <c r="X255" s="223"/>
      <c r="Y255" s="223"/>
    </row>
    <row r="256" spans="1:25">
      <c r="B256" s="46"/>
      <c r="C256" s="46"/>
      <c r="V256" s="224"/>
      <c r="W256" s="223"/>
      <c r="X256" s="223"/>
      <c r="Y256" s="223"/>
    </row>
    <row r="257" spans="1:28" ht="15.75">
      <c r="A257" s="4" t="s">
        <v>23</v>
      </c>
      <c r="B257" s="49">
        <f>SUM(B228+B234+B238+B243+B245+B250+B255)</f>
        <v>3218.70525</v>
      </c>
      <c r="C257" s="49"/>
      <c r="V257" s="224">
        <v>2005</v>
      </c>
      <c r="W257" s="224">
        <v>2010</v>
      </c>
      <c r="X257" s="224">
        <v>2011</v>
      </c>
      <c r="Y257" s="224">
        <v>2013</v>
      </c>
    </row>
    <row r="258" spans="1:28" ht="15.75">
      <c r="A258" s="4"/>
      <c r="B258" s="49"/>
      <c r="C258" s="49"/>
      <c r="V258" s="224"/>
      <c r="W258" s="224"/>
      <c r="X258" s="224"/>
      <c r="Y258" s="224"/>
    </row>
    <row r="259" spans="1:28" ht="45.75" customHeight="1">
      <c r="V259" s="232">
        <v>3321638</v>
      </c>
      <c r="W259" s="232">
        <v>3732573</v>
      </c>
      <c r="X259" s="232">
        <v>3790191</v>
      </c>
      <c r="Y259" s="232">
        <v>4007748</v>
      </c>
      <c r="Z259" s="322" t="s">
        <v>1030</v>
      </c>
      <c r="AA259" s="322"/>
      <c r="AB259" s="322"/>
    </row>
    <row r="260" spans="1:28" ht="51">
      <c r="B260" s="41" t="s">
        <v>58</v>
      </c>
      <c r="C260" s="41"/>
      <c r="D260" s="41" t="s">
        <v>181</v>
      </c>
      <c r="E260" s="256" t="s">
        <v>743</v>
      </c>
      <c r="F260" s="41" t="s">
        <v>514</v>
      </c>
      <c r="G260" s="256" t="s">
        <v>743</v>
      </c>
      <c r="H260" s="2" t="s">
        <v>689</v>
      </c>
      <c r="I260" s="256" t="s">
        <v>743</v>
      </c>
      <c r="J260" s="301" t="s">
        <v>823</v>
      </c>
      <c r="K260" s="301" t="s">
        <v>743</v>
      </c>
      <c r="L260" s="301" t="s">
        <v>824</v>
      </c>
      <c r="M260" s="301" t="s">
        <v>743</v>
      </c>
      <c r="N260" s="301"/>
      <c r="O260" s="41" t="s">
        <v>58</v>
      </c>
      <c r="P260" s="41" t="s">
        <v>181</v>
      </c>
      <c r="Q260" s="41" t="s">
        <v>514</v>
      </c>
      <c r="R260" s="41" t="s">
        <v>689</v>
      </c>
      <c r="S260" s="41" t="s">
        <v>823</v>
      </c>
      <c r="T260" s="41" t="s">
        <v>824</v>
      </c>
      <c r="V260" s="224"/>
      <c r="W260" s="224"/>
      <c r="X260" s="224"/>
      <c r="Y260" s="224"/>
      <c r="Z260" s="2" t="s">
        <v>170</v>
      </c>
    </row>
    <row r="261" spans="1:28">
      <c r="A261" s="2" t="s">
        <v>11</v>
      </c>
      <c r="B261" s="9">
        <f>B13</f>
        <v>176.13</v>
      </c>
      <c r="C261" s="9"/>
      <c r="D261" s="9">
        <f>B57</f>
        <v>223.28649999999996</v>
      </c>
      <c r="E261" s="29">
        <f>(D261-B261)/B261</f>
        <v>0.26773689888150781</v>
      </c>
      <c r="F261" s="9">
        <f>B99</f>
        <v>240.94400000000002</v>
      </c>
      <c r="G261" s="29">
        <f>(F261-B261)/B261</f>
        <v>0.36798955317095339</v>
      </c>
      <c r="H261" s="9">
        <f>B141</f>
        <v>253.9306</v>
      </c>
      <c r="I261" s="29">
        <f>(H261-B261)/B261</f>
        <v>0.44172259126781355</v>
      </c>
      <c r="J261" s="9">
        <f>B183</f>
        <v>269.30176</v>
      </c>
      <c r="K261" s="29">
        <f>(J261-B261)/B261</f>
        <v>0.52899426559927332</v>
      </c>
      <c r="L261" s="9">
        <f>B228</f>
        <v>287.46524999999997</v>
      </c>
      <c r="M261" s="29">
        <f>(L261-B261)/B261</f>
        <v>0.63211974110032354</v>
      </c>
      <c r="N261" s="29"/>
      <c r="O261" s="29">
        <f t="shared" ref="O261:O272" si="0">B261/$B$272</f>
        <v>9.2514484113435685E-2</v>
      </c>
      <c r="P261" s="29">
        <f t="shared" ref="P261:P272" si="1">D261/$D$272</f>
        <v>9.1771646337791932E-2</v>
      </c>
      <c r="Q261" s="29">
        <f t="shared" ref="Q261:Q272" si="2">F261/$F$272</f>
        <v>9.3789242014578472E-2</v>
      </c>
      <c r="R261" s="29">
        <f t="shared" ref="R261:R272" si="3">H261/$H$272</f>
        <v>9.3245916732287132E-2</v>
      </c>
      <c r="S261" s="29">
        <f>J261/$J$272</f>
        <v>8.800838349375352E-2</v>
      </c>
      <c r="T261" s="29">
        <f>L261/$L$272</f>
        <v>8.9310833913729737E-2</v>
      </c>
      <c r="V261" s="225">
        <f t="shared" ref="V261:V272" si="4">B261*1000000/$V$259</f>
        <v>53.025043668214295</v>
      </c>
      <c r="W261" s="225">
        <f t="shared" ref="W261:W272" si="5">F261*1000000/$W$259</f>
        <v>64.551718077583487</v>
      </c>
      <c r="X261" s="225">
        <f t="shared" ref="X261:X272" si="6">H261*1000000/$X$259</f>
        <v>66.996781956371066</v>
      </c>
      <c r="Y261" s="225">
        <f>L261*1000000/$Y$259</f>
        <v>71.727376571580834</v>
      </c>
      <c r="Z261" s="29">
        <f>(Y261-V261)/V261</f>
        <v>0.35270754363522755</v>
      </c>
    </row>
    <row r="262" spans="1:28">
      <c r="A262" s="2" t="s">
        <v>5</v>
      </c>
      <c r="B262" s="9">
        <f>B16</f>
        <v>306.39999999999998</v>
      </c>
      <c r="C262" s="9"/>
      <c r="D262" s="9">
        <f>B60</f>
        <v>330.5</v>
      </c>
      <c r="E262" s="29">
        <f t="shared" ref="E262:E279" si="7">(D262-B262)/B262</f>
        <v>7.8655352480417828E-2</v>
      </c>
      <c r="F262" s="9">
        <f>B102</f>
        <v>351.8</v>
      </c>
      <c r="G262" s="29">
        <f t="shared" ref="G262:G272" si="8">(F262-B262)/B262</f>
        <v>0.14817232375979125</v>
      </c>
      <c r="H262" s="9">
        <f>B144</f>
        <v>383</v>
      </c>
      <c r="I262" s="29">
        <f t="shared" ref="I262:I272" si="9">(H262-B262)/B262</f>
        <v>0.25000000000000011</v>
      </c>
      <c r="J262" s="9">
        <f>B186</f>
        <v>401.8</v>
      </c>
      <c r="K262" s="29">
        <f t="shared" ref="K262:K272" si="10">(J262-B262)/B262</f>
        <v>0.31135770234986959</v>
      </c>
      <c r="L262" s="9">
        <f>B231</f>
        <v>412.1</v>
      </c>
      <c r="M262" s="29">
        <f t="shared" ref="M262:M272" si="11">(L262-B262)/B262</f>
        <v>0.34497389033942577</v>
      </c>
      <c r="N262" s="29"/>
      <c r="O262" s="29">
        <f t="shared" si="0"/>
        <v>0.16094042997988245</v>
      </c>
      <c r="P262" s="29">
        <f t="shared" si="1"/>
        <v>0.13583682450412468</v>
      </c>
      <c r="Q262" s="29">
        <f t="shared" si="2"/>
        <v>0.13694076358294335</v>
      </c>
      <c r="R262" s="29">
        <f t="shared" si="3"/>
        <v>0.14064152216576487</v>
      </c>
      <c r="S262" s="29">
        <f t="shared" ref="S262:S272" si="12">J262/$J$272</f>
        <v>0.13130908794576823</v>
      </c>
      <c r="T262" s="29">
        <f t="shared" ref="T262:T272" si="13">L262/$L$272</f>
        <v>0.12803284799066333</v>
      </c>
      <c r="V262" s="225">
        <f t="shared" si="4"/>
        <v>92.243646056554027</v>
      </c>
      <c r="W262" s="225">
        <f t="shared" si="5"/>
        <v>94.251338151993281</v>
      </c>
      <c r="X262" s="225">
        <f t="shared" si="6"/>
        <v>101.05031646162423</v>
      </c>
      <c r="Y262" s="225">
        <f t="shared" ref="Y262:Y272" si="14">L262*1000000/$Y$259</f>
        <v>102.82582637431295</v>
      </c>
      <c r="Z262" s="29">
        <f t="shared" ref="Z262:Z272" si="15">(Y262-V262)/V262</f>
        <v>0.11471988337571841</v>
      </c>
    </row>
    <row r="263" spans="1:28">
      <c r="A263" s="2" t="s">
        <v>6</v>
      </c>
      <c r="B263" s="9">
        <f>B18</f>
        <v>69.8</v>
      </c>
      <c r="C263" s="9"/>
      <c r="D263" s="9">
        <f>B62</f>
        <v>89.9</v>
      </c>
      <c r="E263" s="29">
        <f t="shared" si="7"/>
        <v>0.28796561604584542</v>
      </c>
      <c r="F263" s="9">
        <f>B104</f>
        <v>85.4</v>
      </c>
      <c r="G263" s="29">
        <f t="shared" si="8"/>
        <v>0.2234957020057308</v>
      </c>
      <c r="H263" s="9">
        <f>B146</f>
        <v>85.4</v>
      </c>
      <c r="I263" s="29">
        <f t="shared" si="9"/>
        <v>0.2234957020057308</v>
      </c>
      <c r="J263" s="9">
        <f>B188</f>
        <v>98.8</v>
      </c>
      <c r="K263" s="29">
        <f t="shared" si="10"/>
        <v>0.41547277936962751</v>
      </c>
      <c r="L263" s="9">
        <f>B233</f>
        <v>107.5</v>
      </c>
      <c r="M263" s="29">
        <f t="shared" si="11"/>
        <v>0.54011461318051579</v>
      </c>
      <c r="N263" s="29"/>
      <c r="O263" s="29">
        <f t="shared" si="0"/>
        <v>3.6663322495417087E-2</v>
      </c>
      <c r="P263" s="29">
        <f t="shared" si="1"/>
        <v>3.6949260281152224E-2</v>
      </c>
      <c r="Q263" s="29">
        <f t="shared" si="2"/>
        <v>3.324258445134555E-2</v>
      </c>
      <c r="R263" s="29">
        <f t="shared" si="3"/>
        <v>3.1359754550799791E-2</v>
      </c>
      <c r="S263" s="29">
        <f t="shared" si="12"/>
        <v>3.228804850433524E-2</v>
      </c>
      <c r="T263" s="29">
        <f t="shared" si="13"/>
        <v>3.3398522589168422E-2</v>
      </c>
      <c r="V263" s="225">
        <f t="shared" si="4"/>
        <v>21.013728768758064</v>
      </c>
      <c r="W263" s="225">
        <f t="shared" si="5"/>
        <v>22.879659687834639</v>
      </c>
      <c r="X263" s="225">
        <f t="shared" si="6"/>
        <v>22.53184602042483</v>
      </c>
      <c r="Y263" s="225">
        <f t="shared" si="14"/>
        <v>26.823043764228689</v>
      </c>
      <c r="Z263" s="29">
        <f t="shared" si="15"/>
        <v>0.27645331580121862</v>
      </c>
    </row>
    <row r="264" spans="1:28">
      <c r="A264" s="2" t="s">
        <v>478</v>
      </c>
      <c r="B264" s="9">
        <f>B21</f>
        <v>160.6</v>
      </c>
      <c r="C264" s="9"/>
      <c r="D264" s="9">
        <f>B65</f>
        <v>200.9898</v>
      </c>
      <c r="E264" s="29">
        <f t="shared" si="7"/>
        <v>0.25149315068493155</v>
      </c>
      <c r="F264" s="9">
        <f>B107</f>
        <v>208.3</v>
      </c>
      <c r="G264" s="29">
        <f t="shared" si="8"/>
        <v>0.29701120797011221</v>
      </c>
      <c r="H264" s="9">
        <f>B149</f>
        <v>200.2</v>
      </c>
      <c r="I264" s="29">
        <f t="shared" si="9"/>
        <v>0.24657534246575341</v>
      </c>
      <c r="J264" s="9">
        <f>B193</f>
        <v>198.5</v>
      </c>
      <c r="K264" s="29">
        <f t="shared" si="10"/>
        <v>0.23599003735990043</v>
      </c>
      <c r="L264" s="9">
        <f>B238</f>
        <v>196.4</v>
      </c>
      <c r="M264" s="29">
        <f t="shared" si="11"/>
        <v>0.22291407222914081</v>
      </c>
      <c r="N264" s="29"/>
      <c r="O264" s="29">
        <f t="shared" si="0"/>
        <v>8.4357157489455353E-2</v>
      </c>
      <c r="P264" s="29">
        <f t="shared" si="1"/>
        <v>8.2607613282054834E-2</v>
      </c>
      <c r="Q264" s="29">
        <f t="shared" si="2"/>
        <v>8.1082322496666012E-2</v>
      </c>
      <c r="R264" s="29">
        <f t="shared" si="3"/>
        <v>7.3515490176465081E-2</v>
      </c>
      <c r="S264" s="29">
        <f t="shared" si="12"/>
        <v>6.4870218908001473E-2</v>
      </c>
      <c r="T264" s="29">
        <f t="shared" si="13"/>
        <v>6.1018324060583058E-2</v>
      </c>
      <c r="V264" s="225">
        <f t="shared" si="4"/>
        <v>48.349639545308669</v>
      </c>
      <c r="W264" s="225">
        <f t="shared" si="5"/>
        <v>55.806008348664584</v>
      </c>
      <c r="X264" s="225">
        <f t="shared" si="6"/>
        <v>52.820557064274595</v>
      </c>
      <c r="Y264" s="225">
        <f t="shared" si="14"/>
        <v>49.005077165530366</v>
      </c>
      <c r="Z264" s="29">
        <f t="shared" si="15"/>
        <v>1.3556204893885166E-2</v>
      </c>
    </row>
    <row r="265" spans="1:28">
      <c r="A265" s="107" t="s">
        <v>413</v>
      </c>
      <c r="B265" s="9">
        <f>B25</f>
        <v>112</v>
      </c>
      <c r="C265" s="9"/>
      <c r="D265" s="9">
        <f>B68</f>
        <v>153.1</v>
      </c>
      <c r="E265" s="29">
        <f t="shared" si="7"/>
        <v>0.36696428571428569</v>
      </c>
      <c r="F265" s="9">
        <f>B110</f>
        <v>170</v>
      </c>
      <c r="G265" s="29">
        <f t="shared" si="8"/>
        <v>0.5178571428571429</v>
      </c>
      <c r="H265" s="9">
        <f>B152</f>
        <v>176.8</v>
      </c>
      <c r="I265" s="29">
        <f t="shared" si="9"/>
        <v>0.57857142857142863</v>
      </c>
      <c r="J265" s="9">
        <f>B196</f>
        <v>194.9</v>
      </c>
      <c r="K265" s="29">
        <f t="shared" si="10"/>
        <v>0.74017857142857146</v>
      </c>
      <c r="L265" s="9">
        <f>B241</f>
        <v>203.9</v>
      </c>
      <c r="M265" s="29">
        <f t="shared" si="11"/>
        <v>0.82053571428571437</v>
      </c>
      <c r="N265" s="29"/>
      <c r="O265" s="131">
        <f t="shared" si="0"/>
        <v>5.8829399992646324E-2</v>
      </c>
      <c r="P265" s="131">
        <f t="shared" si="1"/>
        <v>6.2924713560004508E-2</v>
      </c>
      <c r="Q265" s="29">
        <f t="shared" si="2"/>
        <v>6.6173762959352955E-2</v>
      </c>
      <c r="R265" s="29">
        <f t="shared" si="3"/>
        <v>6.492277054544969E-2</v>
      </c>
      <c r="S265" s="29">
        <f t="shared" si="12"/>
        <v>6.3693731310677515E-2</v>
      </c>
      <c r="T265" s="29">
        <f t="shared" si="13"/>
        <v>6.3348453543548303E-2</v>
      </c>
      <c r="V265" s="225">
        <f t="shared" si="4"/>
        <v>33.718304041560216</v>
      </c>
      <c r="W265" s="225">
        <f t="shared" si="5"/>
        <v>45.544990010912045</v>
      </c>
      <c r="X265" s="225">
        <f t="shared" si="6"/>
        <v>46.646725719099642</v>
      </c>
      <c r="Y265" s="225">
        <f t="shared" si="14"/>
        <v>50.876452311871901</v>
      </c>
      <c r="Z265" s="29">
        <f t="shared" si="15"/>
        <v>0.50886747593126402</v>
      </c>
    </row>
    <row r="266" spans="1:28">
      <c r="A266" s="2" t="s">
        <v>327</v>
      </c>
      <c r="B266" s="9">
        <f>B26</f>
        <v>59.18</v>
      </c>
      <c r="C266" s="9"/>
      <c r="D266" s="9">
        <f>B69</f>
        <v>75.790000000000006</v>
      </c>
      <c r="E266" s="29">
        <f t="shared" si="7"/>
        <v>0.28066914498141277</v>
      </c>
      <c r="F266" s="9">
        <f>B111</f>
        <v>78.650000000000006</v>
      </c>
      <c r="G266" s="29">
        <f t="shared" si="8"/>
        <v>0.32899628252788116</v>
      </c>
      <c r="H266" s="9">
        <f>B153</f>
        <v>82.00500000000001</v>
      </c>
      <c r="I266" s="29">
        <f t="shared" si="9"/>
        <v>0.38568773234200759</v>
      </c>
      <c r="J266" s="9">
        <f>B197</f>
        <v>86.753999999999991</v>
      </c>
      <c r="K266" s="29">
        <f t="shared" si="10"/>
        <v>0.46593443730990186</v>
      </c>
      <c r="L266" s="9">
        <f>B242</f>
        <v>92.039999999999992</v>
      </c>
      <c r="M266" s="29">
        <f t="shared" si="11"/>
        <v>0.55525515376816481</v>
      </c>
      <c r="N266" s="29"/>
      <c r="O266" s="29">
        <f t="shared" si="0"/>
        <v>3.1085034746114373E-2</v>
      </c>
      <c r="P266" s="29">
        <f t="shared" si="1"/>
        <v>3.1149993734243906E-2</v>
      </c>
      <c r="Q266" s="29">
        <f t="shared" si="2"/>
        <v>3.0615096804430062E-2</v>
      </c>
      <c r="R266" s="29">
        <f t="shared" si="3"/>
        <v>3.0113075783821278E-2</v>
      </c>
      <c r="S266" s="29">
        <f t="shared" si="12"/>
        <v>2.8351390282845133E-2</v>
      </c>
      <c r="T266" s="29">
        <f t="shared" si="13"/>
        <v>2.8595349014949409E-2</v>
      </c>
      <c r="V266" s="225">
        <f t="shared" si="4"/>
        <v>17.816511010531553</v>
      </c>
      <c r="W266" s="225">
        <f t="shared" si="5"/>
        <v>21.071255672695482</v>
      </c>
      <c r="X266" s="225">
        <f t="shared" si="6"/>
        <v>21.636112797481715</v>
      </c>
      <c r="Y266" s="225">
        <f t="shared" si="14"/>
        <v>22.965515795903332</v>
      </c>
      <c r="Z266" s="29">
        <f t="shared" si="15"/>
        <v>0.28900185801407141</v>
      </c>
    </row>
    <row r="267" spans="1:28">
      <c r="A267" s="2" t="s">
        <v>491</v>
      </c>
      <c r="B267" s="9">
        <f>B265+B266</f>
        <v>171.18</v>
      </c>
      <c r="C267" s="9"/>
      <c r="D267" s="9">
        <f>D265+D266</f>
        <v>228.89</v>
      </c>
      <c r="E267" s="29">
        <f>(D267-B267)/B267</f>
        <v>0.33713050590022187</v>
      </c>
      <c r="F267" s="9">
        <f>F265+F266</f>
        <v>248.65</v>
      </c>
      <c r="G267" s="29">
        <f t="shared" si="8"/>
        <v>0.45256455193363709</v>
      </c>
      <c r="H267" s="9">
        <f>B154</f>
        <v>258.80500000000001</v>
      </c>
      <c r="I267" s="29">
        <f t="shared" si="9"/>
        <v>0.51188807103633605</v>
      </c>
      <c r="J267" s="9">
        <f>B198</f>
        <v>281.654</v>
      </c>
      <c r="K267" s="29">
        <f t="shared" si="10"/>
        <v>0.64536744946839575</v>
      </c>
      <c r="L267" s="9">
        <f>B243</f>
        <v>295.94</v>
      </c>
      <c r="M267" s="29">
        <f t="shared" si="11"/>
        <v>0.72882346068465931</v>
      </c>
      <c r="N267" s="29"/>
      <c r="O267" s="29">
        <f t="shared" si="0"/>
        <v>8.9914434738760707E-2</v>
      </c>
      <c r="P267" s="29">
        <f t="shared" si="1"/>
        <v>9.4074707294248411E-2</v>
      </c>
      <c r="Q267" s="29">
        <f t="shared" si="2"/>
        <v>9.6788859763783014E-2</v>
      </c>
      <c r="R267" s="29">
        <f t="shared" si="3"/>
        <v>9.5035846329270965E-2</v>
      </c>
      <c r="S267" s="29">
        <f t="shared" si="12"/>
        <v>9.2045121593522655E-2</v>
      </c>
      <c r="T267" s="29">
        <f t="shared" si="13"/>
        <v>9.1943802558497711E-2</v>
      </c>
      <c r="V267" s="225">
        <f t="shared" si="4"/>
        <v>51.534815052091773</v>
      </c>
      <c r="W267" s="225">
        <f t="shared" si="5"/>
        <v>66.616245683607531</v>
      </c>
      <c r="X267" s="225">
        <f t="shared" si="6"/>
        <v>68.28283851658135</v>
      </c>
      <c r="Y267" s="225">
        <f t="shared" si="14"/>
        <v>73.841968107775244</v>
      </c>
      <c r="Z267" s="29">
        <f t="shared" si="15"/>
        <v>0.4328559835353098</v>
      </c>
    </row>
    <row r="268" spans="1:28">
      <c r="A268" s="107" t="s">
        <v>401</v>
      </c>
      <c r="B268" s="9">
        <f>B29</f>
        <v>340.1</v>
      </c>
      <c r="C268" s="9"/>
      <c r="D268" s="9">
        <f>B72</f>
        <v>517.70000000000005</v>
      </c>
      <c r="E268" s="29">
        <f t="shared" si="7"/>
        <v>0.52219935313143195</v>
      </c>
      <c r="F268" s="9">
        <f>B114</f>
        <v>539.1</v>
      </c>
      <c r="G268" s="29">
        <f t="shared" si="8"/>
        <v>0.58512202293443105</v>
      </c>
      <c r="H268" s="9">
        <f>B156</f>
        <v>579.79999999999995</v>
      </c>
      <c r="I268" s="29">
        <f t="shared" si="9"/>
        <v>0.70479270802705063</v>
      </c>
      <c r="J268" s="9">
        <f>B200</f>
        <v>820</v>
      </c>
      <c r="K268" s="29">
        <f t="shared" si="10"/>
        <v>1.4110555718906201</v>
      </c>
      <c r="L268" s="9">
        <f>B245</f>
        <v>858</v>
      </c>
      <c r="M268" s="29">
        <f t="shared" si="11"/>
        <v>1.5227874154660392</v>
      </c>
      <c r="N268" s="29"/>
      <c r="O268" s="131">
        <f t="shared" si="0"/>
        <v>0.1786417762276698</v>
      </c>
      <c r="P268" s="131">
        <f t="shared" si="1"/>
        <v>0.21277677472249731</v>
      </c>
      <c r="Q268" s="29">
        <f t="shared" si="2"/>
        <v>0.20984868006698343</v>
      </c>
      <c r="R268" s="29">
        <f t="shared" si="3"/>
        <v>0.21290849752404822</v>
      </c>
      <c r="S268" s="29">
        <f t="shared" si="12"/>
        <v>0.26797773050156781</v>
      </c>
      <c r="T268" s="29">
        <f t="shared" si="13"/>
        <v>0.26656681285122336</v>
      </c>
      <c r="V268" s="225">
        <f t="shared" si="4"/>
        <v>102.38924289763062</v>
      </c>
      <c r="W268" s="225">
        <f t="shared" si="5"/>
        <v>144.43120067578047</v>
      </c>
      <c r="X268" s="225">
        <f t="shared" si="6"/>
        <v>152.97382110822383</v>
      </c>
      <c r="Y268" s="225">
        <f t="shared" si="14"/>
        <v>214.08531674147176</v>
      </c>
      <c r="Z268" s="29">
        <f t="shared" si="15"/>
        <v>1.0908965696280764</v>
      </c>
    </row>
    <row r="269" spans="1:28">
      <c r="A269" s="107" t="s">
        <v>684</v>
      </c>
      <c r="B269" s="9">
        <f>B265+B266+B268</f>
        <v>511.28000000000003</v>
      </c>
      <c r="C269" s="9"/>
      <c r="D269" s="9">
        <f>D265+D266+D268</f>
        <v>746.59</v>
      </c>
      <c r="E269" s="29">
        <f t="shared" si="7"/>
        <v>0.46023705210452198</v>
      </c>
      <c r="F269" s="9">
        <f>F265+F266+F268</f>
        <v>787.75</v>
      </c>
      <c r="G269" s="29">
        <f t="shared" si="8"/>
        <v>0.54074088562040357</v>
      </c>
      <c r="H269" s="9">
        <f>H265+H266+H268</f>
        <v>838.60500000000002</v>
      </c>
      <c r="I269" s="29">
        <f t="shared" si="9"/>
        <v>0.64020693162259423</v>
      </c>
      <c r="J269" s="9">
        <f>B196+B197+B200</f>
        <v>1101.654</v>
      </c>
      <c r="K269" s="29">
        <f t="shared" si="10"/>
        <v>1.1546980128305429</v>
      </c>
      <c r="L269" s="9">
        <f>B241+B242+B245</f>
        <v>1153.94</v>
      </c>
      <c r="M269" s="29">
        <f t="shared" si="11"/>
        <v>1.2569629166014709</v>
      </c>
      <c r="N269" s="29"/>
      <c r="O269" s="131">
        <f t="shared" si="0"/>
        <v>0.26855621096643051</v>
      </c>
      <c r="P269" s="131">
        <f t="shared" si="1"/>
        <v>0.30685148201674572</v>
      </c>
      <c r="Q269" s="29">
        <f t="shared" si="2"/>
        <v>0.30663753983076641</v>
      </c>
      <c r="R269" s="29">
        <f t="shared" si="3"/>
        <v>0.3079443438533192</v>
      </c>
      <c r="S269" s="29">
        <f t="shared" si="12"/>
        <v>0.36002285209509044</v>
      </c>
      <c r="T269" s="29">
        <f t="shared" si="13"/>
        <v>0.35851061540972107</v>
      </c>
      <c r="V269" s="225">
        <f t="shared" si="4"/>
        <v>153.9240579497224</v>
      </c>
      <c r="W269" s="225">
        <f t="shared" si="5"/>
        <v>211.047446359388</v>
      </c>
      <c r="X269" s="225">
        <f t="shared" si="6"/>
        <v>221.2566596248052</v>
      </c>
      <c r="Y269" s="225">
        <f t="shared" si="14"/>
        <v>287.92728484924703</v>
      </c>
      <c r="Z269" s="29">
        <f t="shared" si="15"/>
        <v>0.87058013337522144</v>
      </c>
    </row>
    <row r="270" spans="1:28">
      <c r="A270" s="2" t="s">
        <v>369</v>
      </c>
      <c r="B270" s="9">
        <f>B32</f>
        <v>294.60000000000002</v>
      </c>
      <c r="C270" s="9"/>
      <c r="D270" s="9">
        <f>B75</f>
        <v>307.8</v>
      </c>
      <c r="E270" s="29">
        <f t="shared" si="7"/>
        <v>4.4806517311608916E-2</v>
      </c>
      <c r="F270" s="9">
        <f>B119</f>
        <v>314.8</v>
      </c>
      <c r="G270" s="29">
        <f t="shared" si="8"/>
        <v>6.8567549219280335E-2</v>
      </c>
      <c r="H270" s="9">
        <f>B159</f>
        <v>352.1</v>
      </c>
      <c r="I270" s="29">
        <f t="shared" si="9"/>
        <v>0.19517990495587234</v>
      </c>
      <c r="J270" s="9">
        <f>B205</f>
        <v>352.9</v>
      </c>
      <c r="K270" s="29">
        <f t="shared" si="10"/>
        <v>0.19789545145960608</v>
      </c>
      <c r="L270" s="9">
        <f>B250</f>
        <v>361.3</v>
      </c>
      <c r="M270" s="29">
        <f t="shared" si="11"/>
        <v>0.2264086897488119</v>
      </c>
      <c r="N270" s="29"/>
      <c r="O270" s="29">
        <f t="shared" si="0"/>
        <v>0.15474233248065722</v>
      </c>
      <c r="P270" s="29">
        <f t="shared" si="1"/>
        <v>0.12650703353213186</v>
      </c>
      <c r="Q270" s="29">
        <f t="shared" si="2"/>
        <v>0.12253823870355478</v>
      </c>
      <c r="R270" s="29">
        <f t="shared" si="3"/>
        <v>0.12929472572993686</v>
      </c>
      <c r="S270" s="29">
        <f t="shared" si="12"/>
        <v>0.11532846474878447</v>
      </c>
      <c r="T270" s="29">
        <f t="shared" si="13"/>
        <v>0.11225010429271211</v>
      </c>
      <c r="V270" s="225">
        <f t="shared" si="4"/>
        <v>88.691181880746782</v>
      </c>
      <c r="W270" s="225">
        <f t="shared" si="5"/>
        <v>84.338605031971241</v>
      </c>
      <c r="X270" s="225">
        <f t="shared" si="6"/>
        <v>92.897693018636787</v>
      </c>
      <c r="Y270" s="225">
        <f t="shared" si="14"/>
        <v>90.150378716426289</v>
      </c>
      <c r="Z270" s="29">
        <f t="shared" si="15"/>
        <v>1.6452558244646316E-2</v>
      </c>
    </row>
    <row r="271" spans="1:28">
      <c r="A271" s="2" t="s">
        <v>180</v>
      </c>
      <c r="B271" s="9">
        <f>B39</f>
        <v>385</v>
      </c>
      <c r="C271" s="9"/>
      <c r="D271" s="9">
        <f>B82</f>
        <v>534</v>
      </c>
      <c r="E271" s="29">
        <f t="shared" si="7"/>
        <v>0.38701298701298703</v>
      </c>
      <c r="F271" s="9">
        <f>B124</f>
        <v>580</v>
      </c>
      <c r="G271" s="29">
        <f t="shared" si="8"/>
        <v>0.50649350649350644</v>
      </c>
      <c r="H271" s="9">
        <f>B166</f>
        <v>610</v>
      </c>
      <c r="I271" s="29">
        <f t="shared" si="9"/>
        <v>0.58441558441558439</v>
      </c>
      <c r="J271" s="9">
        <f>B210</f>
        <v>637</v>
      </c>
      <c r="K271" s="29">
        <f t="shared" si="10"/>
        <v>0.65454545454545454</v>
      </c>
      <c r="L271" s="9">
        <f>B255</f>
        <v>700</v>
      </c>
      <c r="M271" s="29">
        <f t="shared" si="11"/>
        <v>0.81818181818181823</v>
      </c>
      <c r="N271" s="29"/>
      <c r="O271" s="29">
        <f t="shared" si="0"/>
        <v>0.20222606247472175</v>
      </c>
      <c r="P271" s="29">
        <f t="shared" si="1"/>
        <v>0.21947614004599875</v>
      </c>
      <c r="Q271" s="29">
        <f t="shared" si="2"/>
        <v>0.22576930892014538</v>
      </c>
      <c r="R271" s="29">
        <f t="shared" si="3"/>
        <v>0.22399824679142707</v>
      </c>
      <c r="S271" s="29">
        <f t="shared" si="12"/>
        <v>0.20817294430426669</v>
      </c>
      <c r="T271" s="29">
        <f t="shared" si="13"/>
        <v>0.21747875174342229</v>
      </c>
      <c r="V271" s="225">
        <f t="shared" si="4"/>
        <v>115.90667014286325</v>
      </c>
      <c r="W271" s="225">
        <f t="shared" si="5"/>
        <v>155.38878944899403</v>
      </c>
      <c r="X271" s="225">
        <f t="shared" si="6"/>
        <v>160.94175728874876</v>
      </c>
      <c r="Y271" s="225">
        <f t="shared" si="14"/>
        <v>174.66168032521006</v>
      </c>
      <c r="Z271" s="29">
        <f t="shared" si="15"/>
        <v>0.50691655717420803</v>
      </c>
    </row>
    <row r="272" spans="1:28">
      <c r="B272" s="9">
        <f>SUM(B261:B271)-(B267+B269)</f>
        <v>1903.81</v>
      </c>
      <c r="C272" s="9"/>
      <c r="D272" s="9">
        <f>SUM(D261:D271)-(D267+D269)</f>
        <v>2433.0663</v>
      </c>
      <c r="E272" s="29">
        <f t="shared" si="7"/>
        <v>0.27799848724400023</v>
      </c>
      <c r="F272" s="9">
        <f>SUM(F261:F271)-(F267+F269)</f>
        <v>2568.9940000000001</v>
      </c>
      <c r="G272" s="29">
        <f t="shared" si="8"/>
        <v>0.3493962107563256</v>
      </c>
      <c r="H272" s="9">
        <f>SUM(H261:H271)-(H267+H269)</f>
        <v>2723.2356</v>
      </c>
      <c r="I272" s="29">
        <f t="shared" si="9"/>
        <v>0.43041353916619834</v>
      </c>
      <c r="J272" s="9">
        <f>SUM(J261:J271)-(J267+J269)</f>
        <v>3059.9557599999998</v>
      </c>
      <c r="K272" s="29">
        <f t="shared" si="10"/>
        <v>0.60728001218608996</v>
      </c>
      <c r="L272" s="9">
        <f>SUM(L261:L271)-(L267+L269)</f>
        <v>3218.70525</v>
      </c>
      <c r="M272" s="29">
        <f t="shared" si="11"/>
        <v>0.69066516616679186</v>
      </c>
      <c r="N272" s="29"/>
      <c r="O272" s="29">
        <f t="shared" si="0"/>
        <v>1</v>
      </c>
      <c r="P272" s="29">
        <f t="shared" si="1"/>
        <v>1</v>
      </c>
      <c r="Q272" s="29">
        <f t="shared" si="2"/>
        <v>1</v>
      </c>
      <c r="R272" s="29">
        <f t="shared" si="3"/>
        <v>1</v>
      </c>
      <c r="S272" s="29">
        <f t="shared" si="12"/>
        <v>1</v>
      </c>
      <c r="T272" s="29">
        <f t="shared" si="13"/>
        <v>1</v>
      </c>
      <c r="V272" s="225">
        <f t="shared" si="4"/>
        <v>573.15396801216752</v>
      </c>
      <c r="W272" s="225">
        <f t="shared" si="5"/>
        <v>688.26356510642927</v>
      </c>
      <c r="X272" s="225">
        <f t="shared" si="6"/>
        <v>718.49561143488552</v>
      </c>
      <c r="Y272" s="225">
        <f t="shared" si="14"/>
        <v>803.12066776653626</v>
      </c>
      <c r="Z272" s="29">
        <f t="shared" si="15"/>
        <v>0.40123023234393235</v>
      </c>
    </row>
    <row r="273" spans="1:26">
      <c r="O273" s="29"/>
      <c r="P273" s="29"/>
      <c r="V273" s="223"/>
      <c r="W273" s="223"/>
      <c r="X273" s="223"/>
      <c r="Y273" s="223"/>
      <c r="Z273" s="29"/>
    </row>
    <row r="274" spans="1:26">
      <c r="E274" t="s">
        <v>181</v>
      </c>
      <c r="G274" t="s">
        <v>514</v>
      </c>
      <c r="I274" s="2" t="s">
        <v>689</v>
      </c>
      <c r="J274" s="2"/>
      <c r="K274" s="2" t="s">
        <v>823</v>
      </c>
      <c r="L274" s="2"/>
      <c r="M274" s="2" t="s">
        <v>824</v>
      </c>
      <c r="N274" s="2"/>
      <c r="O274" s="29"/>
      <c r="P274" s="29"/>
      <c r="V274" s="223"/>
      <c r="W274" s="223"/>
      <c r="X274" s="223"/>
      <c r="Y274" s="223"/>
      <c r="Z274" s="29"/>
    </row>
    <row r="275" spans="1:26" ht="25.5">
      <c r="A275" s="130" t="s">
        <v>498</v>
      </c>
      <c r="B275" s="9">
        <f>B276+B277</f>
        <v>511.28000000000003</v>
      </c>
      <c r="D275" s="9">
        <f>D276+D277</f>
        <v>746.59</v>
      </c>
      <c r="E275" s="29">
        <f>(D275-B275)/B275</f>
        <v>0.46023705210452198</v>
      </c>
      <c r="F275" s="9">
        <f>F276+F277</f>
        <v>787.75</v>
      </c>
      <c r="G275" s="29">
        <f>(F275-B275)/B275</f>
        <v>0.54074088562040357</v>
      </c>
      <c r="H275" s="9">
        <f>H269</f>
        <v>838.60500000000002</v>
      </c>
      <c r="I275" s="29">
        <f>(H275-B275)/B275</f>
        <v>0.64020693162259423</v>
      </c>
      <c r="J275" s="9">
        <f t="shared" ref="J275" si="16">J269</f>
        <v>1101.654</v>
      </c>
      <c r="K275" s="29">
        <f>(J275-B275)/B275</f>
        <v>1.1546980128305429</v>
      </c>
      <c r="L275" s="9">
        <f t="shared" ref="L275" si="17">L269</f>
        <v>1153.94</v>
      </c>
      <c r="M275" s="29">
        <f>(L275-B275)/B275</f>
        <v>1.2569629166014709</v>
      </c>
      <c r="N275" s="29"/>
      <c r="O275" s="29"/>
      <c r="P275" s="29"/>
      <c r="V275" s="225">
        <f>B275*1000000/$V$259</f>
        <v>153.9240579497224</v>
      </c>
      <c r="W275" s="225">
        <f>F275*1000000/$W$259</f>
        <v>211.047446359388</v>
      </c>
      <c r="X275" s="225">
        <f>H275*1000000/$X$259</f>
        <v>221.2566596248052</v>
      </c>
      <c r="Y275" s="225">
        <f t="shared" ref="Y275:Y278" si="18">L275*1000000/$Y$259</f>
        <v>287.92728484924703</v>
      </c>
      <c r="Z275" s="29">
        <f t="shared" ref="Z275:Z278" si="19">(Y275-V275)/V275</f>
        <v>0.87058013337522144</v>
      </c>
    </row>
    <row r="276" spans="1:26">
      <c r="A276" s="130" t="s">
        <v>496</v>
      </c>
      <c r="B276" s="9">
        <f>B267</f>
        <v>171.18</v>
      </c>
      <c r="D276" s="9">
        <f>D267</f>
        <v>228.89</v>
      </c>
      <c r="E276" s="29">
        <f t="shared" si="7"/>
        <v>0.33713050590022187</v>
      </c>
      <c r="F276" s="9">
        <f>F267</f>
        <v>248.65</v>
      </c>
      <c r="G276" s="29">
        <f>(F276-B276)/B276</f>
        <v>0.45256455193363709</v>
      </c>
      <c r="H276" s="9">
        <f>H267</f>
        <v>258.80500000000001</v>
      </c>
      <c r="I276" s="29">
        <f>(H276-B276)/B276</f>
        <v>0.51188807103633605</v>
      </c>
      <c r="J276" s="9">
        <f t="shared" ref="J276" si="20">J267</f>
        <v>281.654</v>
      </c>
      <c r="K276" s="29">
        <f t="shared" ref="K276:K279" si="21">(J276-B276)/B276</f>
        <v>0.64536744946839575</v>
      </c>
      <c r="L276" s="9">
        <f t="shared" ref="L276" si="22">L267</f>
        <v>295.94</v>
      </c>
      <c r="M276" s="29">
        <f t="shared" ref="M276:M279" si="23">(L276-B276)/B276</f>
        <v>0.72882346068465931</v>
      </c>
      <c r="N276" s="29"/>
      <c r="V276" s="225">
        <f>B276*1000000/$V$259</f>
        <v>51.534815052091773</v>
      </c>
      <c r="W276" s="225">
        <f>F276*1000000/$W$259</f>
        <v>66.616245683607531</v>
      </c>
      <c r="X276" s="225">
        <f>H276*1000000/$X$259</f>
        <v>68.28283851658135</v>
      </c>
      <c r="Y276" s="225">
        <f t="shared" si="18"/>
        <v>73.841968107775244</v>
      </c>
      <c r="Z276" s="29">
        <f t="shared" si="19"/>
        <v>0.4328559835353098</v>
      </c>
    </row>
    <row r="277" spans="1:26">
      <c r="A277" s="130" t="s">
        <v>401</v>
      </c>
      <c r="B277" s="9">
        <f>B268</f>
        <v>340.1</v>
      </c>
      <c r="D277" s="9">
        <f>D268</f>
        <v>517.70000000000005</v>
      </c>
      <c r="E277" s="29">
        <f t="shared" si="7"/>
        <v>0.52219935313143195</v>
      </c>
      <c r="F277" s="9">
        <f>F268</f>
        <v>539.1</v>
      </c>
      <c r="G277" s="29">
        <f>(F277-B277)/B277</f>
        <v>0.58512202293443105</v>
      </c>
      <c r="H277" s="9">
        <f>H268</f>
        <v>579.79999999999995</v>
      </c>
      <c r="I277" s="29">
        <f>(H277-B277)/B277</f>
        <v>0.70479270802705063</v>
      </c>
      <c r="J277" s="9">
        <f t="shared" ref="J277" si="24">J268</f>
        <v>820</v>
      </c>
      <c r="K277" s="29">
        <f t="shared" si="21"/>
        <v>1.4110555718906201</v>
      </c>
      <c r="L277" s="9">
        <f t="shared" ref="L277" si="25">L268</f>
        <v>858</v>
      </c>
      <c r="M277" s="29">
        <f t="shared" si="23"/>
        <v>1.5227874154660392</v>
      </c>
      <c r="N277" s="29"/>
      <c r="V277" s="225">
        <f>B277*1000000/$V$259</f>
        <v>102.38924289763062</v>
      </c>
      <c r="W277" s="225">
        <f>F277*1000000/$W$259</f>
        <v>144.43120067578047</v>
      </c>
      <c r="X277" s="225">
        <f>H277*1000000/$X$259</f>
        <v>152.97382110822383</v>
      </c>
      <c r="Y277" s="225">
        <f t="shared" si="18"/>
        <v>214.08531674147176</v>
      </c>
      <c r="Z277" s="29">
        <f t="shared" si="19"/>
        <v>1.0908965696280764</v>
      </c>
    </row>
    <row r="278" spans="1:26">
      <c r="A278" s="2" t="s">
        <v>373</v>
      </c>
      <c r="B278" s="9">
        <f>B272</f>
        <v>1903.81</v>
      </c>
      <c r="D278" s="9">
        <f>D272</f>
        <v>2433.0663</v>
      </c>
      <c r="E278" s="29">
        <f t="shared" si="7"/>
        <v>0.27799848724400023</v>
      </c>
      <c r="F278" s="9">
        <f>F272</f>
        <v>2568.9940000000001</v>
      </c>
      <c r="G278" s="29">
        <f>(F278-B278)/B278</f>
        <v>0.3493962107563256</v>
      </c>
      <c r="H278" s="9">
        <f>H272</f>
        <v>2723.2356</v>
      </c>
      <c r="I278" s="29">
        <f>(H278-B278)/B278</f>
        <v>0.43041353916619834</v>
      </c>
      <c r="J278" s="9">
        <f t="shared" ref="J278" si="26">J272</f>
        <v>3059.9557599999998</v>
      </c>
      <c r="K278" s="29">
        <f t="shared" si="21"/>
        <v>0.60728001218608996</v>
      </c>
      <c r="L278" s="9">
        <f t="shared" ref="L278" si="27">L272</f>
        <v>3218.70525</v>
      </c>
      <c r="M278" s="29">
        <f t="shared" si="23"/>
        <v>0.69066516616679186</v>
      </c>
      <c r="N278" s="29"/>
      <c r="V278" s="225">
        <f>B278*1000000/$V$259</f>
        <v>573.15396801216752</v>
      </c>
      <c r="W278" s="225">
        <f>F278*1000000/$W$259</f>
        <v>688.26356510642927</v>
      </c>
      <c r="X278" s="225">
        <f>H278*1000000/$X$259</f>
        <v>718.49561143488552</v>
      </c>
      <c r="Y278" s="225">
        <f t="shared" si="18"/>
        <v>803.12066776653626</v>
      </c>
      <c r="Z278" s="29">
        <f t="shared" si="19"/>
        <v>0.40123023234393235</v>
      </c>
    </row>
    <row r="279" spans="1:26" ht="38.25">
      <c r="A279" s="130" t="s">
        <v>497</v>
      </c>
      <c r="B279" s="9">
        <f>B278-B275</f>
        <v>1392.53</v>
      </c>
      <c r="D279" s="9">
        <f>D278-D275</f>
        <v>1686.4762999999998</v>
      </c>
      <c r="E279" s="29">
        <f t="shared" si="7"/>
        <v>0.21108794783595317</v>
      </c>
      <c r="F279" s="9">
        <f>F278-F275</f>
        <v>1781.2440000000001</v>
      </c>
      <c r="G279" s="29">
        <f>(F279-B279)/B279</f>
        <v>0.27914228059718654</v>
      </c>
      <c r="H279" s="9">
        <f>H278-H275</f>
        <v>1884.6306</v>
      </c>
      <c r="I279" s="29">
        <f>(H279-B279)/B279</f>
        <v>0.35338599527478759</v>
      </c>
      <c r="J279" s="9">
        <f t="shared" ref="J279" si="28">J278-J275</f>
        <v>1958.3017599999998</v>
      </c>
      <c r="K279" s="29">
        <f t="shared" si="21"/>
        <v>0.40629053593100317</v>
      </c>
      <c r="L279" s="9">
        <f t="shared" ref="L279" si="29">L278-L275</f>
        <v>2064.7652499999999</v>
      </c>
      <c r="M279" s="29">
        <f t="shared" si="23"/>
        <v>0.4827438188046218</v>
      </c>
      <c r="N279" s="29"/>
      <c r="V279" s="225">
        <f>B279*1000000/$V$259</f>
        <v>419.22991006244507</v>
      </c>
      <c r="W279" s="225">
        <f>F279*1000000/$W$259</f>
        <v>477.21611874704132</v>
      </c>
      <c r="X279" s="225">
        <f>H279*1000000/$X$259</f>
        <v>497.23895181008027</v>
      </c>
      <c r="Y279" s="225">
        <f>L279*1000000/$Y$259</f>
        <v>515.19338291728923</v>
      </c>
      <c r="Z279" s="29">
        <f>(Y279-V279)/V279</f>
        <v>0.22890416583241929</v>
      </c>
    </row>
    <row r="281" spans="1:26">
      <c r="E281" s="2" t="s">
        <v>181</v>
      </c>
      <c r="F281" s="2"/>
      <c r="G281" s="2" t="s">
        <v>514</v>
      </c>
      <c r="H281" s="2"/>
      <c r="I281" s="2" t="s">
        <v>689</v>
      </c>
      <c r="J281" s="2"/>
      <c r="K281" s="2" t="s">
        <v>823</v>
      </c>
      <c r="L281" s="2"/>
      <c r="M281" s="2" t="s">
        <v>824</v>
      </c>
      <c r="N281" s="2"/>
    </row>
    <row r="282" spans="1:26" ht="25.5">
      <c r="A282" s="130" t="s">
        <v>498</v>
      </c>
      <c r="B282" s="9">
        <f>B265+B266+B268</f>
        <v>511.28000000000003</v>
      </c>
      <c r="D282" s="9">
        <f>D265+D266+D268</f>
        <v>746.59</v>
      </c>
      <c r="E282" s="29">
        <f>(D282-B282)/B282</f>
        <v>0.46023705210452198</v>
      </c>
      <c r="F282" s="9">
        <f>F265+F266+F268</f>
        <v>787.75</v>
      </c>
      <c r="G282" s="29">
        <f>(F282-B282)/B282</f>
        <v>0.54074088562040357</v>
      </c>
      <c r="H282" s="9">
        <f>H265+H266+H268</f>
        <v>838.60500000000002</v>
      </c>
      <c r="I282" s="29">
        <f>(H282-B282)/B282</f>
        <v>0.64020693162259423</v>
      </c>
      <c r="J282" s="9">
        <f t="shared" ref="J282" si="30">J265+J266+J268</f>
        <v>1101.654</v>
      </c>
      <c r="K282" s="29">
        <f>(J282-B282)/B282</f>
        <v>1.1546980128305429</v>
      </c>
      <c r="L282" s="9">
        <f t="shared" ref="L282" si="31">L265+L266+L268</f>
        <v>1153.94</v>
      </c>
      <c r="M282" s="29">
        <f>(L282-B282)/B282</f>
        <v>1.2569629166014709</v>
      </c>
      <c r="N282" s="29"/>
    </row>
    <row r="283" spans="1:26">
      <c r="A283" s="2" t="s">
        <v>373</v>
      </c>
      <c r="B283" s="9">
        <f>B272</f>
        <v>1903.81</v>
      </c>
      <c r="D283" s="9">
        <f>D272</f>
        <v>2433.0663</v>
      </c>
      <c r="E283" s="29">
        <f>(D283-B283)/B283</f>
        <v>0.27799848724400023</v>
      </c>
      <c r="F283" s="9">
        <f>F272</f>
        <v>2568.9940000000001</v>
      </c>
      <c r="G283" s="29">
        <f>(F283-B283)/B283</f>
        <v>0.3493962107563256</v>
      </c>
      <c r="H283" s="9">
        <f>H272</f>
        <v>2723.2356</v>
      </c>
      <c r="I283" s="29">
        <f>(H283-B283)/B283</f>
        <v>0.43041353916619834</v>
      </c>
      <c r="J283" s="9">
        <f t="shared" ref="J283" si="32">J272</f>
        <v>3059.9557599999998</v>
      </c>
      <c r="K283" s="29">
        <f t="shared" ref="K283:K284" si="33">(J283-B283)/B283</f>
        <v>0.60728001218608996</v>
      </c>
      <c r="L283" s="9">
        <f t="shared" ref="L283" si="34">L272</f>
        <v>3218.70525</v>
      </c>
      <c r="M283" s="29">
        <f t="shared" ref="M283:M284" si="35">(L283-B283)/B283</f>
        <v>0.69066516616679186</v>
      </c>
      <c r="N283" s="29"/>
    </row>
    <row r="284" spans="1:26" ht="38.25">
      <c r="A284" s="130" t="s">
        <v>497</v>
      </c>
      <c r="B284" s="9">
        <f>B283-B282</f>
        <v>1392.53</v>
      </c>
      <c r="D284" s="9">
        <f>D283-D282</f>
        <v>1686.4762999999998</v>
      </c>
      <c r="E284" s="29">
        <f>(D284-B284)/B284</f>
        <v>0.21108794783595317</v>
      </c>
      <c r="F284" s="9">
        <f>F283-F282</f>
        <v>1781.2440000000001</v>
      </c>
      <c r="G284" s="29">
        <f>(F284-B284)/B284</f>
        <v>0.27914228059718654</v>
      </c>
      <c r="H284" s="9">
        <f>H283-H282</f>
        <v>1884.6306</v>
      </c>
      <c r="I284" s="29">
        <f>(H284-B284)/B284</f>
        <v>0.35338599527478759</v>
      </c>
      <c r="J284" s="9">
        <f t="shared" ref="J284" si="36">J283-J282</f>
        <v>1958.3017599999998</v>
      </c>
      <c r="K284" s="29">
        <f t="shared" si="33"/>
        <v>0.40629053593100317</v>
      </c>
      <c r="L284" s="9">
        <f t="shared" ref="L284" si="37">L283-L282</f>
        <v>2064.7652499999999</v>
      </c>
      <c r="M284" s="29">
        <f t="shared" si="35"/>
        <v>0.4827438188046218</v>
      </c>
      <c r="N284" s="29"/>
    </row>
    <row r="287" spans="1:26">
      <c r="A287" s="52" t="s">
        <v>404</v>
      </c>
    </row>
    <row r="288" spans="1:26">
      <c r="A288" s="52" t="s">
        <v>472</v>
      </c>
    </row>
    <row r="289" spans="1:5">
      <c r="A289" s="52" t="s">
        <v>573</v>
      </c>
    </row>
    <row r="290" spans="1:5">
      <c r="A290" s="106" t="s">
        <v>673</v>
      </c>
      <c r="B290" s="39"/>
      <c r="C290" s="39"/>
      <c r="D290" s="39"/>
      <c r="E290" s="39"/>
    </row>
    <row r="291" spans="1:5">
      <c r="A291" s="52" t="s">
        <v>760</v>
      </c>
      <c r="B291" s="39"/>
      <c r="C291" s="39"/>
      <c r="D291" s="39"/>
      <c r="E291" s="39"/>
    </row>
    <row r="292" spans="1:5">
      <c r="A292" s="274" t="s">
        <v>773</v>
      </c>
    </row>
    <row r="293" spans="1:5">
      <c r="A293" s="274" t="s">
        <v>790</v>
      </c>
    </row>
    <row r="294" spans="1:5">
      <c r="A294" s="283" t="s">
        <v>821</v>
      </c>
      <c r="B294" s="136"/>
      <c r="C294" s="136"/>
      <c r="D294" s="136"/>
    </row>
  </sheetData>
  <mergeCells count="2">
    <mergeCell ref="E145:P145"/>
    <mergeCell ref="Z259:AB259"/>
  </mergeCells>
  <hyperlinks>
    <hyperlink ref="W18" r:id="rId1"/>
    <hyperlink ref="W62" r:id="rId2"/>
    <hyperlink ref="W104" r:id="rId3"/>
    <hyperlink ref="W98" r:id="rId4"/>
    <hyperlink ref="W117" r:id="rId5"/>
    <hyperlink ref="V159" r:id="rId6"/>
  </hyperlinks>
  <pageMargins left="0.70866141732283472" right="0.70866141732283472" top="0.74803149606299213" bottom="0.74803149606299213" header="0.31496062992125984" footer="0.31496062992125984"/>
  <pageSetup scale="80" orientation="landscape" verticalDpi="0" r:id="rId7"/>
</worksheet>
</file>

<file path=xl/worksheets/sheet32.xml><?xml version="1.0" encoding="utf-8"?>
<worksheet xmlns="http://schemas.openxmlformats.org/spreadsheetml/2006/main" xmlns:r="http://schemas.openxmlformats.org/officeDocument/2006/relationships">
  <sheetPr>
    <tabColor rgb="FFFF0000"/>
  </sheetPr>
  <dimension ref="A1:AF283"/>
  <sheetViews>
    <sheetView topLeftCell="A248" workbookViewId="0">
      <selection activeCell="A259" sqref="A259:L268"/>
    </sheetView>
  </sheetViews>
  <sheetFormatPr defaultRowHeight="12.75"/>
  <cols>
    <col min="1" max="1" width="35.42578125" customWidth="1"/>
    <col min="2" max="2" width="10.140625" customWidth="1"/>
    <col min="3" max="3" width="2.7109375" customWidth="1"/>
    <col min="4" max="4" width="14" customWidth="1"/>
    <col min="5" max="7" width="9.28515625" bestFit="1" customWidth="1"/>
    <col min="8" max="8" width="9.42578125" bestFit="1" customWidth="1"/>
    <col min="9" max="9" width="9.28515625" bestFit="1" customWidth="1"/>
    <col min="10" max="14" width="9.28515625" customWidth="1"/>
    <col min="15" max="18" width="9.28515625" bestFit="1" customWidth="1"/>
    <col min="19" max="19" width="9.28515625" customWidth="1"/>
    <col min="22" max="22" width="10" customWidth="1"/>
    <col min="268" max="268" width="35.42578125" customWidth="1"/>
    <col min="269" max="269" width="10.140625" customWidth="1"/>
    <col min="270" max="270" width="14" customWidth="1"/>
    <col min="271" max="271" width="10.140625" customWidth="1"/>
    <col min="272" max="272" width="14" customWidth="1"/>
    <col min="280" max="280" width="10" customWidth="1"/>
    <col min="524" max="524" width="35.42578125" customWidth="1"/>
    <col min="525" max="525" width="10.140625" customWidth="1"/>
    <col min="526" max="526" width="14" customWidth="1"/>
    <col min="527" max="527" width="10.140625" customWidth="1"/>
    <col min="528" max="528" width="14" customWidth="1"/>
    <col min="536" max="536" width="10" customWidth="1"/>
    <col min="780" max="780" width="35.42578125" customWidth="1"/>
    <col min="781" max="781" width="10.140625" customWidth="1"/>
    <col min="782" max="782" width="14" customWidth="1"/>
    <col min="783" max="783" width="10.140625" customWidth="1"/>
    <col min="784" max="784" width="14" customWidth="1"/>
    <col min="792" max="792" width="10" customWidth="1"/>
    <col min="1036" max="1036" width="35.42578125" customWidth="1"/>
    <col min="1037" max="1037" width="10.140625" customWidth="1"/>
    <col min="1038" max="1038" width="14" customWidth="1"/>
    <col min="1039" max="1039" width="10.140625" customWidth="1"/>
    <col min="1040" max="1040" width="14" customWidth="1"/>
    <col min="1048" max="1048" width="10" customWidth="1"/>
    <col min="1292" max="1292" width="35.42578125" customWidth="1"/>
    <col min="1293" max="1293" width="10.140625" customWidth="1"/>
    <col min="1294" max="1294" width="14" customWidth="1"/>
    <col min="1295" max="1295" width="10.140625" customWidth="1"/>
    <col min="1296" max="1296" width="14" customWidth="1"/>
    <col min="1304" max="1304" width="10" customWidth="1"/>
    <col min="1548" max="1548" width="35.42578125" customWidth="1"/>
    <col min="1549" max="1549" width="10.140625" customWidth="1"/>
    <col min="1550" max="1550" width="14" customWidth="1"/>
    <col min="1551" max="1551" width="10.140625" customWidth="1"/>
    <col min="1552" max="1552" width="14" customWidth="1"/>
    <col min="1560" max="1560" width="10" customWidth="1"/>
    <col min="1804" max="1804" width="35.42578125" customWidth="1"/>
    <col min="1805" max="1805" width="10.140625" customWidth="1"/>
    <col min="1806" max="1806" width="14" customWidth="1"/>
    <col min="1807" max="1807" width="10.140625" customWidth="1"/>
    <col min="1808" max="1808" width="14" customWidth="1"/>
    <col min="1816" max="1816" width="10" customWidth="1"/>
    <col min="2060" max="2060" width="35.42578125" customWidth="1"/>
    <col min="2061" max="2061" width="10.140625" customWidth="1"/>
    <col min="2062" max="2062" width="14" customWidth="1"/>
    <col min="2063" max="2063" width="10.140625" customWidth="1"/>
    <col min="2064" max="2064" width="14" customWidth="1"/>
    <col min="2072" max="2072" width="10" customWidth="1"/>
    <col min="2316" max="2316" width="35.42578125" customWidth="1"/>
    <col min="2317" max="2317" width="10.140625" customWidth="1"/>
    <col min="2318" max="2318" width="14" customWidth="1"/>
    <col min="2319" max="2319" width="10.140625" customWidth="1"/>
    <col min="2320" max="2320" width="14" customWidth="1"/>
    <col min="2328" max="2328" width="10" customWidth="1"/>
    <col min="2572" max="2572" width="35.42578125" customWidth="1"/>
    <col min="2573" max="2573" width="10.140625" customWidth="1"/>
    <col min="2574" max="2574" width="14" customWidth="1"/>
    <col min="2575" max="2575" width="10.140625" customWidth="1"/>
    <col min="2576" max="2576" width="14" customWidth="1"/>
    <col min="2584" max="2584" width="10" customWidth="1"/>
    <col min="2828" max="2828" width="35.42578125" customWidth="1"/>
    <col min="2829" max="2829" width="10.140625" customWidth="1"/>
    <col min="2830" max="2830" width="14" customWidth="1"/>
    <col min="2831" max="2831" width="10.140625" customWidth="1"/>
    <col min="2832" max="2832" width="14" customWidth="1"/>
    <col min="2840" max="2840" width="10" customWidth="1"/>
    <col min="3084" max="3084" width="35.42578125" customWidth="1"/>
    <col min="3085" max="3085" width="10.140625" customWidth="1"/>
    <col min="3086" max="3086" width="14" customWidth="1"/>
    <col min="3087" max="3087" width="10.140625" customWidth="1"/>
    <col min="3088" max="3088" width="14" customWidth="1"/>
    <col min="3096" max="3096" width="10" customWidth="1"/>
    <col min="3340" max="3340" width="35.42578125" customWidth="1"/>
    <col min="3341" max="3341" width="10.140625" customWidth="1"/>
    <col min="3342" max="3342" width="14" customWidth="1"/>
    <col min="3343" max="3343" width="10.140625" customWidth="1"/>
    <col min="3344" max="3344" width="14" customWidth="1"/>
    <col min="3352" max="3352" width="10" customWidth="1"/>
    <col min="3596" max="3596" width="35.42578125" customWidth="1"/>
    <col min="3597" max="3597" width="10.140625" customWidth="1"/>
    <col min="3598" max="3598" width="14" customWidth="1"/>
    <col min="3599" max="3599" width="10.140625" customWidth="1"/>
    <col min="3600" max="3600" width="14" customWidth="1"/>
    <col min="3608" max="3608" width="10" customWidth="1"/>
    <col min="3852" max="3852" width="35.42578125" customWidth="1"/>
    <col min="3853" max="3853" width="10.140625" customWidth="1"/>
    <col min="3854" max="3854" width="14" customWidth="1"/>
    <col min="3855" max="3855" width="10.140625" customWidth="1"/>
    <col min="3856" max="3856" width="14" customWidth="1"/>
    <col min="3864" max="3864" width="10" customWidth="1"/>
    <col min="4108" max="4108" width="35.42578125" customWidth="1"/>
    <col min="4109" max="4109" width="10.140625" customWidth="1"/>
    <col min="4110" max="4110" width="14" customWidth="1"/>
    <col min="4111" max="4111" width="10.140625" customWidth="1"/>
    <col min="4112" max="4112" width="14" customWidth="1"/>
    <col min="4120" max="4120" width="10" customWidth="1"/>
    <col min="4364" max="4364" width="35.42578125" customWidth="1"/>
    <col min="4365" max="4365" width="10.140625" customWidth="1"/>
    <col min="4366" max="4366" width="14" customWidth="1"/>
    <col min="4367" max="4367" width="10.140625" customWidth="1"/>
    <col min="4368" max="4368" width="14" customWidth="1"/>
    <col min="4376" max="4376" width="10" customWidth="1"/>
    <col min="4620" max="4620" width="35.42578125" customWidth="1"/>
    <col min="4621" max="4621" width="10.140625" customWidth="1"/>
    <col min="4622" max="4622" width="14" customWidth="1"/>
    <col min="4623" max="4623" width="10.140625" customWidth="1"/>
    <col min="4624" max="4624" width="14" customWidth="1"/>
    <col min="4632" max="4632" width="10" customWidth="1"/>
    <col min="4876" max="4876" width="35.42578125" customWidth="1"/>
    <col min="4877" max="4877" width="10.140625" customWidth="1"/>
    <col min="4878" max="4878" width="14" customWidth="1"/>
    <col min="4879" max="4879" width="10.140625" customWidth="1"/>
    <col min="4880" max="4880" width="14" customWidth="1"/>
    <col min="4888" max="4888" width="10" customWidth="1"/>
    <col min="5132" max="5132" width="35.42578125" customWidth="1"/>
    <col min="5133" max="5133" width="10.140625" customWidth="1"/>
    <col min="5134" max="5134" width="14" customWidth="1"/>
    <col min="5135" max="5135" width="10.140625" customWidth="1"/>
    <col min="5136" max="5136" width="14" customWidth="1"/>
    <col min="5144" max="5144" width="10" customWidth="1"/>
    <col min="5388" max="5388" width="35.42578125" customWidth="1"/>
    <col min="5389" max="5389" width="10.140625" customWidth="1"/>
    <col min="5390" max="5390" width="14" customWidth="1"/>
    <col min="5391" max="5391" width="10.140625" customWidth="1"/>
    <col min="5392" max="5392" width="14" customWidth="1"/>
    <col min="5400" max="5400" width="10" customWidth="1"/>
    <col min="5644" max="5644" width="35.42578125" customWidth="1"/>
    <col min="5645" max="5645" width="10.140625" customWidth="1"/>
    <col min="5646" max="5646" width="14" customWidth="1"/>
    <col min="5647" max="5647" width="10.140625" customWidth="1"/>
    <col min="5648" max="5648" width="14" customWidth="1"/>
    <col min="5656" max="5656" width="10" customWidth="1"/>
    <col min="5900" max="5900" width="35.42578125" customWidth="1"/>
    <col min="5901" max="5901" width="10.140625" customWidth="1"/>
    <col min="5902" max="5902" width="14" customWidth="1"/>
    <col min="5903" max="5903" width="10.140625" customWidth="1"/>
    <col min="5904" max="5904" width="14" customWidth="1"/>
    <col min="5912" max="5912" width="10" customWidth="1"/>
    <col min="6156" max="6156" width="35.42578125" customWidth="1"/>
    <col min="6157" max="6157" width="10.140625" customWidth="1"/>
    <col min="6158" max="6158" width="14" customWidth="1"/>
    <col min="6159" max="6159" width="10.140625" customWidth="1"/>
    <col min="6160" max="6160" width="14" customWidth="1"/>
    <col min="6168" max="6168" width="10" customWidth="1"/>
    <col min="6412" max="6412" width="35.42578125" customWidth="1"/>
    <col min="6413" max="6413" width="10.140625" customWidth="1"/>
    <col min="6414" max="6414" width="14" customWidth="1"/>
    <col min="6415" max="6415" width="10.140625" customWidth="1"/>
    <col min="6416" max="6416" width="14" customWidth="1"/>
    <col min="6424" max="6424" width="10" customWidth="1"/>
    <col min="6668" max="6668" width="35.42578125" customWidth="1"/>
    <col min="6669" max="6669" width="10.140625" customWidth="1"/>
    <col min="6670" max="6670" width="14" customWidth="1"/>
    <col min="6671" max="6671" width="10.140625" customWidth="1"/>
    <col min="6672" max="6672" width="14" customWidth="1"/>
    <col min="6680" max="6680" width="10" customWidth="1"/>
    <col min="6924" max="6924" width="35.42578125" customWidth="1"/>
    <col min="6925" max="6925" width="10.140625" customWidth="1"/>
    <col min="6926" max="6926" width="14" customWidth="1"/>
    <col min="6927" max="6927" width="10.140625" customWidth="1"/>
    <col min="6928" max="6928" width="14" customWidth="1"/>
    <col min="6936" max="6936" width="10" customWidth="1"/>
    <col min="7180" max="7180" width="35.42578125" customWidth="1"/>
    <col min="7181" max="7181" width="10.140625" customWidth="1"/>
    <col min="7182" max="7182" width="14" customWidth="1"/>
    <col min="7183" max="7183" width="10.140625" customWidth="1"/>
    <col min="7184" max="7184" width="14" customWidth="1"/>
    <col min="7192" max="7192" width="10" customWidth="1"/>
    <col min="7436" max="7436" width="35.42578125" customWidth="1"/>
    <col min="7437" max="7437" width="10.140625" customWidth="1"/>
    <col min="7438" max="7438" width="14" customWidth="1"/>
    <col min="7439" max="7439" width="10.140625" customWidth="1"/>
    <col min="7440" max="7440" width="14" customWidth="1"/>
    <col min="7448" max="7448" width="10" customWidth="1"/>
    <col min="7692" max="7692" width="35.42578125" customWidth="1"/>
    <col min="7693" max="7693" width="10.140625" customWidth="1"/>
    <col min="7694" max="7694" width="14" customWidth="1"/>
    <col min="7695" max="7695" width="10.140625" customWidth="1"/>
    <col min="7696" max="7696" width="14" customWidth="1"/>
    <col min="7704" max="7704" width="10" customWidth="1"/>
    <col min="7948" max="7948" width="35.42578125" customWidth="1"/>
    <col min="7949" max="7949" width="10.140625" customWidth="1"/>
    <col min="7950" max="7950" width="14" customWidth="1"/>
    <col min="7951" max="7951" width="10.140625" customWidth="1"/>
    <col min="7952" max="7952" width="14" customWidth="1"/>
    <col min="7960" max="7960" width="10" customWidth="1"/>
    <col min="8204" max="8204" width="35.42578125" customWidth="1"/>
    <col min="8205" max="8205" width="10.140625" customWidth="1"/>
    <col min="8206" max="8206" width="14" customWidth="1"/>
    <col min="8207" max="8207" width="10.140625" customWidth="1"/>
    <col min="8208" max="8208" width="14" customWidth="1"/>
    <col min="8216" max="8216" width="10" customWidth="1"/>
    <col min="8460" max="8460" width="35.42578125" customWidth="1"/>
    <col min="8461" max="8461" width="10.140625" customWidth="1"/>
    <col min="8462" max="8462" width="14" customWidth="1"/>
    <col min="8463" max="8463" width="10.140625" customWidth="1"/>
    <col min="8464" max="8464" width="14" customWidth="1"/>
    <col min="8472" max="8472" width="10" customWidth="1"/>
    <col min="8716" max="8716" width="35.42578125" customWidth="1"/>
    <col min="8717" max="8717" width="10.140625" customWidth="1"/>
    <col min="8718" max="8718" width="14" customWidth="1"/>
    <col min="8719" max="8719" width="10.140625" customWidth="1"/>
    <col min="8720" max="8720" width="14" customWidth="1"/>
    <col min="8728" max="8728" width="10" customWidth="1"/>
    <col min="8972" max="8972" width="35.42578125" customWidth="1"/>
    <col min="8973" max="8973" width="10.140625" customWidth="1"/>
    <col min="8974" max="8974" width="14" customWidth="1"/>
    <col min="8975" max="8975" width="10.140625" customWidth="1"/>
    <col min="8976" max="8976" width="14" customWidth="1"/>
    <col min="8984" max="8984" width="10" customWidth="1"/>
    <col min="9228" max="9228" width="35.42578125" customWidth="1"/>
    <col min="9229" max="9229" width="10.140625" customWidth="1"/>
    <col min="9230" max="9230" width="14" customWidth="1"/>
    <col min="9231" max="9231" width="10.140625" customWidth="1"/>
    <col min="9232" max="9232" width="14" customWidth="1"/>
    <col min="9240" max="9240" width="10" customWidth="1"/>
    <col min="9484" max="9484" width="35.42578125" customWidth="1"/>
    <col min="9485" max="9485" width="10.140625" customWidth="1"/>
    <col min="9486" max="9486" width="14" customWidth="1"/>
    <col min="9487" max="9487" width="10.140625" customWidth="1"/>
    <col min="9488" max="9488" width="14" customWidth="1"/>
    <col min="9496" max="9496" width="10" customWidth="1"/>
    <col min="9740" max="9740" width="35.42578125" customWidth="1"/>
    <col min="9741" max="9741" width="10.140625" customWidth="1"/>
    <col min="9742" max="9742" width="14" customWidth="1"/>
    <col min="9743" max="9743" width="10.140625" customWidth="1"/>
    <col min="9744" max="9744" width="14" customWidth="1"/>
    <col min="9752" max="9752" width="10" customWidth="1"/>
    <col min="9996" max="9996" width="35.42578125" customWidth="1"/>
    <col min="9997" max="9997" width="10.140625" customWidth="1"/>
    <col min="9998" max="9998" width="14" customWidth="1"/>
    <col min="9999" max="9999" width="10.140625" customWidth="1"/>
    <col min="10000" max="10000" width="14" customWidth="1"/>
    <col min="10008" max="10008" width="10" customWidth="1"/>
    <col min="10252" max="10252" width="35.42578125" customWidth="1"/>
    <col min="10253" max="10253" width="10.140625" customWidth="1"/>
    <col min="10254" max="10254" width="14" customWidth="1"/>
    <col min="10255" max="10255" width="10.140625" customWidth="1"/>
    <col min="10256" max="10256" width="14" customWidth="1"/>
    <col min="10264" max="10264" width="10" customWidth="1"/>
    <col min="10508" max="10508" width="35.42578125" customWidth="1"/>
    <col min="10509" max="10509" width="10.140625" customWidth="1"/>
    <col min="10510" max="10510" width="14" customWidth="1"/>
    <col min="10511" max="10511" width="10.140625" customWidth="1"/>
    <col min="10512" max="10512" width="14" customWidth="1"/>
    <col min="10520" max="10520" width="10" customWidth="1"/>
    <col min="10764" max="10764" width="35.42578125" customWidth="1"/>
    <col min="10765" max="10765" width="10.140625" customWidth="1"/>
    <col min="10766" max="10766" width="14" customWidth="1"/>
    <col min="10767" max="10767" width="10.140625" customWidth="1"/>
    <col min="10768" max="10768" width="14" customWidth="1"/>
    <col min="10776" max="10776" width="10" customWidth="1"/>
    <col min="11020" max="11020" width="35.42578125" customWidth="1"/>
    <col min="11021" max="11021" width="10.140625" customWidth="1"/>
    <col min="11022" max="11022" width="14" customWidth="1"/>
    <col min="11023" max="11023" width="10.140625" customWidth="1"/>
    <col min="11024" max="11024" width="14" customWidth="1"/>
    <col min="11032" max="11032" width="10" customWidth="1"/>
    <col min="11276" max="11276" width="35.42578125" customWidth="1"/>
    <col min="11277" max="11277" width="10.140625" customWidth="1"/>
    <col min="11278" max="11278" width="14" customWidth="1"/>
    <col min="11279" max="11279" width="10.140625" customWidth="1"/>
    <col min="11280" max="11280" width="14" customWidth="1"/>
    <col min="11288" max="11288" width="10" customWidth="1"/>
    <col min="11532" max="11532" width="35.42578125" customWidth="1"/>
    <col min="11533" max="11533" width="10.140625" customWidth="1"/>
    <col min="11534" max="11534" width="14" customWidth="1"/>
    <col min="11535" max="11535" width="10.140625" customWidth="1"/>
    <col min="11536" max="11536" width="14" customWidth="1"/>
    <col min="11544" max="11544" width="10" customWidth="1"/>
    <col min="11788" max="11788" width="35.42578125" customWidth="1"/>
    <col min="11789" max="11789" width="10.140625" customWidth="1"/>
    <col min="11790" max="11790" width="14" customWidth="1"/>
    <col min="11791" max="11791" width="10.140625" customWidth="1"/>
    <col min="11792" max="11792" width="14" customWidth="1"/>
    <col min="11800" max="11800" width="10" customWidth="1"/>
    <col min="12044" max="12044" width="35.42578125" customWidth="1"/>
    <col min="12045" max="12045" width="10.140625" customWidth="1"/>
    <col min="12046" max="12046" width="14" customWidth="1"/>
    <col min="12047" max="12047" width="10.140625" customWidth="1"/>
    <col min="12048" max="12048" width="14" customWidth="1"/>
    <col min="12056" max="12056" width="10" customWidth="1"/>
    <col min="12300" max="12300" width="35.42578125" customWidth="1"/>
    <col min="12301" max="12301" width="10.140625" customWidth="1"/>
    <col min="12302" max="12302" width="14" customWidth="1"/>
    <col min="12303" max="12303" width="10.140625" customWidth="1"/>
    <col min="12304" max="12304" width="14" customWidth="1"/>
    <col min="12312" max="12312" width="10" customWidth="1"/>
    <col min="12556" max="12556" width="35.42578125" customWidth="1"/>
    <col min="12557" max="12557" width="10.140625" customWidth="1"/>
    <col min="12558" max="12558" width="14" customWidth="1"/>
    <col min="12559" max="12559" width="10.140625" customWidth="1"/>
    <col min="12560" max="12560" width="14" customWidth="1"/>
    <col min="12568" max="12568" width="10" customWidth="1"/>
    <col min="12812" max="12812" width="35.42578125" customWidth="1"/>
    <col min="12813" max="12813" width="10.140625" customWidth="1"/>
    <col min="12814" max="12814" width="14" customWidth="1"/>
    <col min="12815" max="12815" width="10.140625" customWidth="1"/>
    <col min="12816" max="12816" width="14" customWidth="1"/>
    <col min="12824" max="12824" width="10" customWidth="1"/>
    <col min="13068" max="13068" width="35.42578125" customWidth="1"/>
    <col min="13069" max="13069" width="10.140625" customWidth="1"/>
    <col min="13070" max="13070" width="14" customWidth="1"/>
    <col min="13071" max="13071" width="10.140625" customWidth="1"/>
    <col min="13072" max="13072" width="14" customWidth="1"/>
    <col min="13080" max="13080" width="10" customWidth="1"/>
    <col min="13324" max="13324" width="35.42578125" customWidth="1"/>
    <col min="13325" max="13325" width="10.140625" customWidth="1"/>
    <col min="13326" max="13326" width="14" customWidth="1"/>
    <col min="13327" max="13327" width="10.140625" customWidth="1"/>
    <col min="13328" max="13328" width="14" customWidth="1"/>
    <col min="13336" max="13336" width="10" customWidth="1"/>
    <col min="13580" max="13580" width="35.42578125" customWidth="1"/>
    <col min="13581" max="13581" width="10.140625" customWidth="1"/>
    <col min="13582" max="13582" width="14" customWidth="1"/>
    <col min="13583" max="13583" width="10.140625" customWidth="1"/>
    <col min="13584" max="13584" width="14" customWidth="1"/>
    <col min="13592" max="13592" width="10" customWidth="1"/>
    <col min="13836" max="13836" width="35.42578125" customWidth="1"/>
    <col min="13837" max="13837" width="10.140625" customWidth="1"/>
    <col min="13838" max="13838" width="14" customWidth="1"/>
    <col min="13839" max="13839" width="10.140625" customWidth="1"/>
    <col min="13840" max="13840" width="14" customWidth="1"/>
    <col min="13848" max="13848" width="10" customWidth="1"/>
    <col min="14092" max="14092" width="35.42578125" customWidth="1"/>
    <col min="14093" max="14093" width="10.140625" customWidth="1"/>
    <col min="14094" max="14094" width="14" customWidth="1"/>
    <col min="14095" max="14095" width="10.140625" customWidth="1"/>
    <col min="14096" max="14096" width="14" customWidth="1"/>
    <col min="14104" max="14104" width="10" customWidth="1"/>
    <col min="14348" max="14348" width="35.42578125" customWidth="1"/>
    <col min="14349" max="14349" width="10.140625" customWidth="1"/>
    <col min="14350" max="14350" width="14" customWidth="1"/>
    <col min="14351" max="14351" width="10.140625" customWidth="1"/>
    <col min="14352" max="14352" width="14" customWidth="1"/>
    <col min="14360" max="14360" width="10" customWidth="1"/>
    <col min="14604" max="14604" width="35.42578125" customWidth="1"/>
    <col min="14605" max="14605" width="10.140625" customWidth="1"/>
    <col min="14606" max="14606" width="14" customWidth="1"/>
    <col min="14607" max="14607" width="10.140625" customWidth="1"/>
    <col min="14608" max="14608" width="14" customWidth="1"/>
    <col min="14616" max="14616" width="10" customWidth="1"/>
    <col min="14860" max="14860" width="35.42578125" customWidth="1"/>
    <col min="14861" max="14861" width="10.140625" customWidth="1"/>
    <col min="14862" max="14862" width="14" customWidth="1"/>
    <col min="14863" max="14863" width="10.140625" customWidth="1"/>
    <col min="14864" max="14864" width="14" customWidth="1"/>
    <col min="14872" max="14872" width="10" customWidth="1"/>
    <col min="15116" max="15116" width="35.42578125" customWidth="1"/>
    <col min="15117" max="15117" width="10.140625" customWidth="1"/>
    <col min="15118" max="15118" width="14" customWidth="1"/>
    <col min="15119" max="15119" width="10.140625" customWidth="1"/>
    <col min="15120" max="15120" width="14" customWidth="1"/>
    <col min="15128" max="15128" width="10" customWidth="1"/>
    <col min="15372" max="15372" width="35.42578125" customWidth="1"/>
    <col min="15373" max="15373" width="10.140625" customWidth="1"/>
    <col min="15374" max="15374" width="14" customWidth="1"/>
    <col min="15375" max="15375" width="10.140625" customWidth="1"/>
    <col min="15376" max="15376" width="14" customWidth="1"/>
    <col min="15384" max="15384" width="10" customWidth="1"/>
    <col min="15628" max="15628" width="35.42578125" customWidth="1"/>
    <col min="15629" max="15629" width="10.140625" customWidth="1"/>
    <col min="15630" max="15630" width="14" customWidth="1"/>
    <col min="15631" max="15631" width="10.140625" customWidth="1"/>
    <col min="15632" max="15632" width="14" customWidth="1"/>
    <col min="15640" max="15640" width="10" customWidth="1"/>
    <col min="15884" max="15884" width="35.42578125" customWidth="1"/>
    <col min="15885" max="15885" width="10.140625" customWidth="1"/>
    <col min="15886" max="15886" width="14" customWidth="1"/>
    <col min="15887" max="15887" width="10.140625" customWidth="1"/>
    <col min="15888" max="15888" width="14" customWidth="1"/>
    <col min="15896" max="15896" width="10" customWidth="1"/>
    <col min="16140" max="16140" width="35.42578125" customWidth="1"/>
    <col min="16141" max="16141" width="10.140625" customWidth="1"/>
    <col min="16142" max="16142" width="14" customWidth="1"/>
    <col min="16143" max="16143" width="10.140625" customWidth="1"/>
    <col min="16144" max="16144" width="14" customWidth="1"/>
    <col min="16152" max="16152" width="10" customWidth="1"/>
  </cols>
  <sheetData>
    <row r="1" spans="1:25">
      <c r="B1" s="41" t="s">
        <v>415</v>
      </c>
      <c r="C1" s="41"/>
    </row>
    <row r="2" spans="1:25">
      <c r="B2" s="41" t="s">
        <v>58</v>
      </c>
      <c r="C2" s="41"/>
    </row>
    <row r="3" spans="1:25">
      <c r="B3" s="41" t="s">
        <v>16</v>
      </c>
      <c r="C3" s="41"/>
      <c r="E3" s="2" t="s">
        <v>59</v>
      </c>
      <c r="V3" s="2"/>
      <c r="W3" s="2" t="s">
        <v>92</v>
      </c>
      <c r="X3" s="2"/>
      <c r="Y3" s="2"/>
    </row>
    <row r="4" spans="1:25">
      <c r="A4" s="2" t="s">
        <v>11</v>
      </c>
      <c r="B4" s="106"/>
      <c r="C4" s="106"/>
    </row>
    <row r="5" spans="1:25">
      <c r="B5" s="106"/>
      <c r="C5" s="106"/>
    </row>
    <row r="6" spans="1:25">
      <c r="A6" t="s">
        <v>0</v>
      </c>
      <c r="B6" s="46">
        <f>'Disability $ details 05-06'!B6*0.016</f>
        <v>8.64</v>
      </c>
      <c r="C6" s="46"/>
      <c r="D6" s="22" t="s">
        <v>217</v>
      </c>
      <c r="E6" t="s">
        <v>354</v>
      </c>
      <c r="W6" s="38" t="s">
        <v>344</v>
      </c>
      <c r="X6" s="38"/>
      <c r="Y6" s="38"/>
    </row>
    <row r="7" spans="1:25">
      <c r="A7" t="s">
        <v>1</v>
      </c>
      <c r="B7" s="46">
        <f>'Disability $ details 05-06'!B7*0.016</f>
        <v>14</v>
      </c>
      <c r="C7" s="46"/>
      <c r="D7" s="22" t="s">
        <v>217</v>
      </c>
      <c r="E7" t="s">
        <v>218</v>
      </c>
      <c r="Q7" t="s">
        <v>93</v>
      </c>
    </row>
    <row r="8" spans="1:25">
      <c r="A8" t="s">
        <v>14</v>
      </c>
      <c r="B8" s="46">
        <f>'Disability $ details 05-06'!B8*0.016</f>
        <v>1.36</v>
      </c>
      <c r="C8" s="46"/>
      <c r="D8" s="22" t="s">
        <v>217</v>
      </c>
      <c r="E8" t="s">
        <v>442</v>
      </c>
    </row>
    <row r="9" spans="1:25">
      <c r="A9" t="s">
        <v>2</v>
      </c>
      <c r="B9" s="46">
        <f>'Disability $ details 05-06'!B9*0.016</f>
        <v>0.08</v>
      </c>
      <c r="C9" s="46"/>
      <c r="D9" s="22" t="s">
        <v>217</v>
      </c>
      <c r="E9" t="s">
        <v>418</v>
      </c>
    </row>
    <row r="10" spans="1:25">
      <c r="A10" t="s">
        <v>68</v>
      </c>
      <c r="B10" s="46">
        <f>'Disability $ details 05-06'!B10*0.016</f>
        <v>0</v>
      </c>
      <c r="C10" s="46"/>
      <c r="D10" s="22" t="s">
        <v>217</v>
      </c>
    </row>
    <row r="11" spans="1:25">
      <c r="A11" t="s">
        <v>3</v>
      </c>
      <c r="B11" s="46">
        <f>'Disability $ details 05-06'!B11*0.016</f>
        <v>1.84</v>
      </c>
      <c r="C11" s="46"/>
      <c r="D11" s="22" t="s">
        <v>217</v>
      </c>
    </row>
    <row r="12" spans="1:25">
      <c r="A12" t="s">
        <v>15</v>
      </c>
      <c r="B12" s="46">
        <f>'Disability $ details 05-06'!B12*0.016</f>
        <v>1.44</v>
      </c>
      <c r="C12" s="46"/>
      <c r="D12" s="22" t="s">
        <v>217</v>
      </c>
      <c r="V12" s="7"/>
    </row>
    <row r="13" spans="1:25">
      <c r="A13" s="3" t="s">
        <v>24</v>
      </c>
      <c r="B13" s="104">
        <f>SUM(B6:B12)</f>
        <v>27.36</v>
      </c>
      <c r="C13" s="104"/>
      <c r="D13" s="22" t="s">
        <v>217</v>
      </c>
      <c r="V13" s="7"/>
    </row>
    <row r="14" spans="1:25">
      <c r="B14" s="46"/>
      <c r="C14" s="46"/>
      <c r="D14" s="22"/>
      <c r="V14" s="7"/>
    </row>
    <row r="15" spans="1:25">
      <c r="A15" s="2" t="s">
        <v>4</v>
      </c>
      <c r="B15" s="46"/>
      <c r="C15" s="46"/>
      <c r="D15" s="22"/>
      <c r="V15" s="7"/>
    </row>
    <row r="16" spans="1:25">
      <c r="A16" t="s">
        <v>5</v>
      </c>
      <c r="B16" s="46">
        <v>110.7</v>
      </c>
      <c r="C16" s="46"/>
      <c r="D16" s="22"/>
      <c r="E16" t="s">
        <v>438</v>
      </c>
      <c r="V16" s="7"/>
      <c r="W16" t="s">
        <v>220</v>
      </c>
    </row>
    <row r="17" spans="1:25">
      <c r="A17" t="s">
        <v>69</v>
      </c>
      <c r="B17" s="105"/>
      <c r="C17" s="105"/>
      <c r="D17" s="22"/>
      <c r="V17" s="7"/>
    </row>
    <row r="18" spans="1:25">
      <c r="A18" t="s">
        <v>6</v>
      </c>
      <c r="B18" s="46">
        <v>20</v>
      </c>
      <c r="C18" s="46"/>
      <c r="D18" s="22"/>
      <c r="E18" t="s">
        <v>316</v>
      </c>
      <c r="V18" s="7"/>
      <c r="W18" s="38" t="s">
        <v>72</v>
      </c>
      <c r="X18" s="38"/>
      <c r="Y18" s="38"/>
    </row>
    <row r="19" spans="1:25">
      <c r="A19" s="3" t="s">
        <v>24</v>
      </c>
      <c r="B19" s="104">
        <f>SUM(B16:B18)</f>
        <v>130.69999999999999</v>
      </c>
      <c r="C19" s="104"/>
      <c r="D19" s="22"/>
      <c r="V19" s="7"/>
    </row>
    <row r="20" spans="1:25">
      <c r="B20" s="46"/>
      <c r="C20" s="46"/>
      <c r="D20" s="22"/>
      <c r="V20" s="7"/>
    </row>
    <row r="21" spans="1:25">
      <c r="A21" t="s">
        <v>101</v>
      </c>
      <c r="B21" s="46">
        <f>1656*0.018</f>
        <v>29.807999999999996</v>
      </c>
      <c r="C21" s="46" t="s">
        <v>437</v>
      </c>
      <c r="D21" s="22"/>
      <c r="E21" t="s">
        <v>333</v>
      </c>
      <c r="V21" s="7"/>
      <c r="W21" t="s">
        <v>102</v>
      </c>
    </row>
    <row r="22" spans="1:25">
      <c r="A22" s="3" t="s">
        <v>221</v>
      </c>
      <c r="B22" s="104">
        <f>SUM(B21)</f>
        <v>29.807999999999996</v>
      </c>
      <c r="C22" s="104" t="s">
        <v>437</v>
      </c>
      <c r="D22" s="22"/>
      <c r="E22" t="s">
        <v>423</v>
      </c>
      <c r="V22" s="7"/>
      <c r="W22" t="s">
        <v>103</v>
      </c>
    </row>
    <row r="23" spans="1:25">
      <c r="A23" s="3"/>
      <c r="B23" s="104"/>
      <c r="C23" s="104"/>
      <c r="D23" s="22"/>
      <c r="V23" s="7"/>
    </row>
    <row r="24" spans="1:25">
      <c r="A24" s="2" t="s">
        <v>334</v>
      </c>
      <c r="B24" s="46"/>
      <c r="C24" s="46"/>
      <c r="D24" s="22"/>
      <c r="T24" s="9"/>
      <c r="V24" s="7"/>
    </row>
    <row r="25" spans="1:25">
      <c r="A25" s="103" t="s">
        <v>335</v>
      </c>
      <c r="B25" s="46">
        <f>'SA by provi 05-06'!B4*0.25</f>
        <v>52.45</v>
      </c>
      <c r="C25" s="46" t="s">
        <v>437</v>
      </c>
      <c r="D25" s="8"/>
      <c r="E25" s="75" t="s">
        <v>439</v>
      </c>
      <c r="V25" s="7"/>
      <c r="W25" s="75" t="s">
        <v>267</v>
      </c>
      <c r="X25" s="75"/>
      <c r="Y25" s="75"/>
    </row>
    <row r="26" spans="1:25">
      <c r="A26" s="103"/>
      <c r="B26" s="46"/>
      <c r="C26" s="46"/>
      <c r="D26" s="8"/>
      <c r="E26" s="75" t="s">
        <v>479</v>
      </c>
      <c r="F26" s="75"/>
      <c r="G26" s="75"/>
      <c r="H26" s="75"/>
      <c r="I26" s="75"/>
      <c r="J26" s="75"/>
      <c r="K26" s="75"/>
      <c r="L26" s="75"/>
      <c r="M26" s="75"/>
      <c r="N26" s="75"/>
      <c r="V26" s="7"/>
    </row>
    <row r="27" spans="1:25">
      <c r="A27" s="103"/>
      <c r="B27" s="46"/>
      <c r="C27" s="46"/>
      <c r="D27" s="8"/>
      <c r="E27" s="75" t="s">
        <v>480</v>
      </c>
      <c r="F27" s="75"/>
      <c r="G27" s="75"/>
      <c r="H27" s="75"/>
      <c r="I27" s="75"/>
      <c r="J27" s="75"/>
      <c r="K27" s="75"/>
      <c r="L27" s="75"/>
      <c r="M27" s="75"/>
      <c r="N27" s="75"/>
      <c r="V27" s="7"/>
    </row>
    <row r="28" spans="1:25">
      <c r="A28" s="103" t="s">
        <v>12</v>
      </c>
      <c r="B28" s="46">
        <f>0.228*0.55</f>
        <v>0.12540000000000001</v>
      </c>
      <c r="C28" s="46" t="s">
        <v>437</v>
      </c>
      <c r="D28" s="22"/>
      <c r="E28" s="39" t="s">
        <v>656</v>
      </c>
      <c r="F28" s="39"/>
      <c r="G28" s="39"/>
      <c r="H28" s="39"/>
      <c r="I28" s="39"/>
      <c r="J28" s="39"/>
      <c r="K28" s="39"/>
      <c r="L28" s="39"/>
      <c r="M28" s="39"/>
      <c r="N28" s="39"/>
      <c r="O28" s="39"/>
      <c r="V28" s="7"/>
    </row>
    <row r="29" spans="1:25">
      <c r="A29" s="115" t="s">
        <v>24</v>
      </c>
      <c r="B29" s="104">
        <f>SUM(B25:B28)</f>
        <v>52.575400000000002</v>
      </c>
      <c r="C29" s="104" t="s">
        <v>437</v>
      </c>
      <c r="D29" s="22"/>
      <c r="V29" s="7"/>
    </row>
    <row r="30" spans="1:25">
      <c r="A30" s="3"/>
      <c r="B30" s="104"/>
      <c r="C30" s="104"/>
      <c r="D30" s="22"/>
      <c r="V30" s="7"/>
    </row>
    <row r="31" spans="1:25">
      <c r="A31" s="2" t="s">
        <v>13</v>
      </c>
      <c r="B31" s="46"/>
      <c r="C31" s="46"/>
      <c r="D31" s="22"/>
      <c r="V31" s="7"/>
    </row>
    <row r="32" spans="1:25">
      <c r="A32" t="s">
        <v>7</v>
      </c>
      <c r="B32" s="46">
        <v>73.599999999999994</v>
      </c>
      <c r="C32" s="46"/>
      <c r="D32" s="22">
        <v>2005</v>
      </c>
      <c r="E32" t="s">
        <v>96</v>
      </c>
      <c r="V32" s="7"/>
      <c r="W32" t="s">
        <v>324</v>
      </c>
    </row>
    <row r="33" spans="1:23">
      <c r="A33" t="s">
        <v>8</v>
      </c>
      <c r="B33" s="46"/>
      <c r="C33" s="46"/>
      <c r="D33" s="22"/>
      <c r="E33" t="s">
        <v>70</v>
      </c>
      <c r="V33" s="7"/>
    </row>
    <row r="34" spans="1:23">
      <c r="A34" s="3" t="s">
        <v>57</v>
      </c>
      <c r="B34" s="104">
        <f>SUM(B32:B33)</f>
        <v>73.599999999999994</v>
      </c>
      <c r="C34" s="104"/>
      <c r="D34" s="22"/>
      <c r="V34" s="7"/>
    </row>
    <row r="35" spans="1:23">
      <c r="A35" t="s">
        <v>64</v>
      </c>
      <c r="B35" s="46"/>
      <c r="C35" s="46"/>
      <c r="D35" s="22"/>
      <c r="V35" s="7"/>
    </row>
    <row r="36" spans="1:23">
      <c r="A36" t="s">
        <v>9</v>
      </c>
      <c r="B36" s="46">
        <v>8</v>
      </c>
      <c r="C36" s="46"/>
      <c r="D36" s="22">
        <v>2005</v>
      </c>
      <c r="E36" t="s">
        <v>61</v>
      </c>
      <c r="V36" s="7"/>
      <c r="W36" t="s">
        <v>75</v>
      </c>
    </row>
    <row r="37" spans="1:23">
      <c r="A37" t="s">
        <v>10</v>
      </c>
      <c r="B37" s="46">
        <v>47</v>
      </c>
      <c r="C37" s="46"/>
      <c r="D37" s="22"/>
      <c r="V37" s="7"/>
      <c r="W37" t="s">
        <v>429</v>
      </c>
    </row>
    <row r="38" spans="1:23">
      <c r="A38" s="3" t="s">
        <v>24</v>
      </c>
      <c r="B38" s="104">
        <f>SUM(B36:B37)</f>
        <v>55</v>
      </c>
      <c r="C38" s="104"/>
      <c r="D38" s="22"/>
      <c r="V38" s="7"/>
    </row>
    <row r="39" spans="1:23">
      <c r="B39" s="46"/>
      <c r="C39" s="46"/>
      <c r="D39" s="22"/>
    </row>
    <row r="40" spans="1:23" ht="15.75">
      <c r="A40" s="4" t="s">
        <v>23</v>
      </c>
      <c r="B40" s="49">
        <f>SUM(B13+B19+B22+B29+B34+B38)</f>
        <v>369.04340000000002</v>
      </c>
      <c r="C40" s="49"/>
    </row>
    <row r="41" spans="1:23" ht="15.75">
      <c r="A41" s="4"/>
      <c r="B41" s="48"/>
      <c r="C41" s="48"/>
    </row>
    <row r="42" spans="1:23" ht="15.75">
      <c r="A42" s="52"/>
      <c r="B42" s="48"/>
      <c r="C42" s="48"/>
    </row>
    <row r="43" spans="1:23">
      <c r="B43" s="39"/>
      <c r="C43" s="39"/>
    </row>
    <row r="44" spans="1:23">
      <c r="B44" s="41" t="s">
        <v>419</v>
      </c>
      <c r="C44" s="41"/>
    </row>
    <row r="45" spans="1:23">
      <c r="B45" s="41" t="s">
        <v>181</v>
      </c>
      <c r="C45" s="41"/>
    </row>
    <row r="46" spans="1:23">
      <c r="B46" s="41" t="s">
        <v>16</v>
      </c>
      <c r="C46" s="41"/>
    </row>
    <row r="47" spans="1:23">
      <c r="A47" s="2" t="s">
        <v>11</v>
      </c>
      <c r="B47" s="106"/>
      <c r="C47" s="106"/>
    </row>
    <row r="48" spans="1:23">
      <c r="B48" s="106"/>
      <c r="C48" s="106"/>
    </row>
    <row r="49" spans="1:32">
      <c r="A49" t="s">
        <v>0</v>
      </c>
      <c r="B49" s="46">
        <f>'CAN Disability details 09-10'!B6*0.015</f>
        <v>9.2999999999999989</v>
      </c>
      <c r="C49" s="46"/>
      <c r="D49" s="22" t="s">
        <v>217</v>
      </c>
      <c r="E49" t="s">
        <v>354</v>
      </c>
      <c r="W49" s="38" t="s">
        <v>344</v>
      </c>
      <c r="X49" s="38"/>
      <c r="Y49" s="38"/>
    </row>
    <row r="50" spans="1:32">
      <c r="A50" t="s">
        <v>1</v>
      </c>
      <c r="B50" s="46">
        <f>'CAN Disability details 09-10'!B7*0.015</f>
        <v>15</v>
      </c>
      <c r="C50" s="46"/>
      <c r="D50" s="22" t="s">
        <v>217</v>
      </c>
      <c r="E50" t="s">
        <v>218</v>
      </c>
    </row>
    <row r="51" spans="1:32">
      <c r="A51" t="s">
        <v>14</v>
      </c>
      <c r="B51" s="46">
        <f>'CAN Disability details 09-10'!B8*0.015</f>
        <v>1.4549999999999998</v>
      </c>
      <c r="C51" s="46"/>
      <c r="D51" s="22" t="s">
        <v>217</v>
      </c>
      <c r="E51" t="s">
        <v>431</v>
      </c>
    </row>
    <row r="52" spans="1:32">
      <c r="A52" t="s">
        <v>2</v>
      </c>
      <c r="B52" s="46">
        <f>'CAN Disability details 09-10'!B9*0.015</f>
        <v>7.4999999999999997E-2</v>
      </c>
      <c r="C52" s="46"/>
      <c r="D52" s="22" t="s">
        <v>217</v>
      </c>
    </row>
    <row r="53" spans="1:32">
      <c r="A53" t="s">
        <v>68</v>
      </c>
      <c r="B53" s="46">
        <f>'CAN Disability details 09-10'!B10*0.015</f>
        <v>0</v>
      </c>
      <c r="C53" s="46"/>
      <c r="D53" s="22" t="s">
        <v>217</v>
      </c>
      <c r="E53" s="7"/>
    </row>
    <row r="54" spans="1:32">
      <c r="A54" t="s">
        <v>3</v>
      </c>
      <c r="B54" s="46">
        <f>'CAN Disability details 09-10'!B11*0.015</f>
        <v>1.95</v>
      </c>
      <c r="C54" s="46"/>
      <c r="D54" s="22" t="s">
        <v>217</v>
      </c>
      <c r="E54" s="7"/>
    </row>
    <row r="55" spans="1:32">
      <c r="A55" t="s">
        <v>15</v>
      </c>
      <c r="B55" s="46">
        <f>'CAN Disability details 09-10'!B12*0.015</f>
        <v>2.9474999999999998</v>
      </c>
      <c r="C55" s="46"/>
      <c r="D55" s="22" t="s">
        <v>217</v>
      </c>
      <c r="E55" s="7"/>
    </row>
    <row r="56" spans="1:32">
      <c r="A56" s="3" t="s">
        <v>24</v>
      </c>
      <c r="B56" s="104">
        <f>SUM(B49:B55)</f>
        <v>30.727499999999992</v>
      </c>
      <c r="C56" s="104"/>
      <c r="E56" s="7"/>
    </row>
    <row r="57" spans="1:32">
      <c r="B57" s="46"/>
      <c r="C57" s="46"/>
    </row>
    <row r="58" spans="1:32">
      <c r="A58" s="2" t="s">
        <v>4</v>
      </c>
      <c r="B58" s="46"/>
      <c r="C58" s="46"/>
    </row>
    <row r="59" spans="1:32">
      <c r="A59" t="s">
        <v>5</v>
      </c>
      <c r="B59" s="46">
        <v>118.9</v>
      </c>
      <c r="C59" s="46"/>
      <c r="E59" t="s">
        <v>325</v>
      </c>
    </row>
    <row r="60" spans="1:32">
      <c r="A60" t="s">
        <v>69</v>
      </c>
      <c r="B60" s="105"/>
      <c r="C60" s="105"/>
    </row>
    <row r="61" spans="1:32">
      <c r="A61" t="s">
        <v>6</v>
      </c>
      <c r="B61" s="114">
        <v>29</v>
      </c>
      <c r="C61" s="114"/>
      <c r="D61" s="103"/>
      <c r="E61" s="103" t="s">
        <v>394</v>
      </c>
      <c r="F61" s="103"/>
      <c r="G61" s="103"/>
      <c r="H61" s="103"/>
      <c r="I61" s="103"/>
      <c r="J61" s="103"/>
      <c r="K61" s="103"/>
      <c r="L61" s="103"/>
      <c r="M61" s="103"/>
      <c r="N61" s="103"/>
      <c r="O61" s="103"/>
      <c r="P61" s="103"/>
      <c r="Q61" s="103"/>
      <c r="R61" s="103"/>
      <c r="S61" s="103"/>
      <c r="T61" s="103"/>
      <c r="U61" s="103"/>
      <c r="V61" s="111"/>
      <c r="W61" s="110" t="s">
        <v>395</v>
      </c>
      <c r="X61" s="110"/>
      <c r="Y61" s="110"/>
      <c r="Z61" s="103"/>
      <c r="AA61" s="103"/>
      <c r="AB61" s="103"/>
      <c r="AC61" s="103"/>
      <c r="AD61" s="103"/>
      <c r="AE61" s="103"/>
      <c r="AF61" s="103"/>
    </row>
    <row r="62" spans="1:32">
      <c r="A62" s="3" t="s">
        <v>24</v>
      </c>
      <c r="B62" s="112">
        <f>SUM(B59:B61)</f>
        <v>147.9</v>
      </c>
      <c r="C62" s="112"/>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row>
    <row r="63" spans="1:32">
      <c r="B63" s="46"/>
      <c r="C63" s="46"/>
    </row>
    <row r="64" spans="1:32">
      <c r="A64" t="s">
        <v>478</v>
      </c>
      <c r="B64" s="104">
        <f>'CAN Disability details 09-10'!B22*0.018</f>
        <v>36.543599999999998</v>
      </c>
      <c r="C64" s="104" t="s">
        <v>437</v>
      </c>
      <c r="E64" t="s">
        <v>457</v>
      </c>
    </row>
    <row r="65" spans="1:23">
      <c r="A65" s="3"/>
      <c r="B65" s="104"/>
      <c r="C65" s="104"/>
      <c r="E65" t="s">
        <v>464</v>
      </c>
    </row>
    <row r="66" spans="1:23">
      <c r="A66" s="2" t="s">
        <v>334</v>
      </c>
      <c r="B66" s="46"/>
      <c r="C66" s="46"/>
    </row>
    <row r="67" spans="1:23">
      <c r="A67" s="103" t="s">
        <v>335</v>
      </c>
      <c r="B67" s="46">
        <f>'SA $ by prov 09-10'!B4*0.25</f>
        <v>54.4</v>
      </c>
      <c r="C67" s="46" t="s">
        <v>437</v>
      </c>
      <c r="E67" s="150" t="s">
        <v>440</v>
      </c>
      <c r="W67" t="s">
        <v>183</v>
      </c>
    </row>
    <row r="68" spans="1:23">
      <c r="A68" s="103"/>
      <c r="B68" s="46"/>
      <c r="C68" s="46"/>
      <c r="E68" s="75" t="s">
        <v>479</v>
      </c>
    </row>
    <row r="69" spans="1:23">
      <c r="A69" s="103"/>
      <c r="B69" s="46"/>
      <c r="C69" s="46"/>
      <c r="E69" s="75" t="s">
        <v>480</v>
      </c>
    </row>
    <row r="70" spans="1:23">
      <c r="A70" s="103" t="s">
        <v>12</v>
      </c>
      <c r="B70" s="46">
        <f>0.515*0.55</f>
        <v>0.28325000000000006</v>
      </c>
      <c r="C70" s="46" t="s">
        <v>437</v>
      </c>
      <c r="E70" s="39" t="s">
        <v>656</v>
      </c>
      <c r="F70" s="39"/>
      <c r="G70" s="39"/>
      <c r="H70" s="39"/>
      <c r="I70" s="39"/>
      <c r="J70" s="39"/>
      <c r="K70" s="39"/>
      <c r="L70" s="39"/>
      <c r="M70" s="39"/>
      <c r="N70" s="39"/>
      <c r="O70" s="39"/>
    </row>
    <row r="71" spans="1:23">
      <c r="A71" s="115" t="s">
        <v>24</v>
      </c>
      <c r="B71" s="104">
        <f>SUM(B67:B70)</f>
        <v>54.683250000000001</v>
      </c>
      <c r="C71" s="104" t="s">
        <v>437</v>
      </c>
    </row>
    <row r="72" spans="1:23">
      <c r="A72" s="3"/>
      <c r="B72" s="104"/>
      <c r="C72" s="104"/>
    </row>
    <row r="73" spans="1:23">
      <c r="A73" s="2" t="s">
        <v>13</v>
      </c>
      <c r="B73" s="46"/>
      <c r="C73" s="46"/>
    </row>
    <row r="74" spans="1:23">
      <c r="A74" t="s">
        <v>7</v>
      </c>
      <c r="B74" s="46">
        <v>87.6</v>
      </c>
      <c r="C74" s="46"/>
      <c r="E74" t="s">
        <v>215</v>
      </c>
    </row>
    <row r="75" spans="1:23">
      <c r="A75" t="s">
        <v>8</v>
      </c>
      <c r="B75" s="46"/>
      <c r="C75" s="46"/>
      <c r="E75" t="s">
        <v>167</v>
      </c>
    </row>
    <row r="76" spans="1:23">
      <c r="A76" s="3" t="s">
        <v>57</v>
      </c>
      <c r="B76" s="104">
        <f>SUM(B74:B75)</f>
        <v>87.6</v>
      </c>
      <c r="C76" s="104"/>
    </row>
    <row r="77" spans="1:23">
      <c r="A77" s="3"/>
      <c r="B77" s="104"/>
      <c r="C77" s="104"/>
    </row>
    <row r="78" spans="1:23">
      <c r="A78" t="s">
        <v>64</v>
      </c>
      <c r="B78" s="46"/>
      <c r="C78" s="46"/>
    </row>
    <row r="79" spans="1:23">
      <c r="A79" t="s">
        <v>9</v>
      </c>
      <c r="B79" s="46">
        <v>9</v>
      </c>
      <c r="C79" s="46"/>
      <c r="E79" t="s">
        <v>207</v>
      </c>
    </row>
    <row r="80" spans="1:23">
      <c r="A80" t="s">
        <v>10</v>
      </c>
      <c r="B80" s="46">
        <v>49</v>
      </c>
      <c r="C80" s="46"/>
      <c r="E80" t="s">
        <v>207</v>
      </c>
    </row>
    <row r="81" spans="1:25">
      <c r="A81" s="3" t="s">
        <v>24</v>
      </c>
      <c r="B81" s="104">
        <f>SUM(B79:B80)</f>
        <v>58</v>
      </c>
      <c r="C81" s="104"/>
      <c r="E81" t="s">
        <v>429</v>
      </c>
    </row>
    <row r="82" spans="1:25">
      <c r="B82" s="46"/>
      <c r="C82" s="46"/>
    </row>
    <row r="83" spans="1:25" ht="15.75">
      <c r="A83" s="4" t="s">
        <v>23</v>
      </c>
      <c r="B83" s="28">
        <f>SUM(B56+B62+B64+B70+B67+B76+B81)</f>
        <v>415.45434999999998</v>
      </c>
      <c r="C83" s="49"/>
    </row>
    <row r="85" spans="1:25">
      <c r="B85" s="41" t="s">
        <v>419</v>
      </c>
      <c r="C85" s="41"/>
    </row>
    <row r="86" spans="1:25">
      <c r="B86" s="41" t="s">
        <v>514</v>
      </c>
      <c r="C86" s="41"/>
    </row>
    <row r="87" spans="1:25">
      <c r="B87" s="41" t="s">
        <v>16</v>
      </c>
      <c r="C87" s="41"/>
    </row>
    <row r="88" spans="1:25">
      <c r="A88" s="2" t="s">
        <v>11</v>
      </c>
      <c r="B88" s="106"/>
      <c r="C88" s="106"/>
    </row>
    <row r="89" spans="1:25">
      <c r="B89" s="106"/>
      <c r="C89" s="106"/>
    </row>
    <row r="90" spans="1:25">
      <c r="A90" t="s">
        <v>0</v>
      </c>
      <c r="B90" s="143">
        <f>'CAN Disability details 10-11'!B6*0.015</f>
        <v>9.75</v>
      </c>
      <c r="C90" s="46"/>
      <c r="D90" s="22" t="s">
        <v>217</v>
      </c>
      <c r="E90" s="52" t="s">
        <v>811</v>
      </c>
      <c r="R90" s="145"/>
      <c r="S90" s="145"/>
      <c r="T90" s="145"/>
      <c r="W90" s="145" t="s">
        <v>810</v>
      </c>
      <c r="X90" s="38"/>
      <c r="Y90" s="38"/>
    </row>
    <row r="91" spans="1:25">
      <c r="A91" t="s">
        <v>1</v>
      </c>
      <c r="B91" s="143">
        <f>'CAN Disability details 10-11'!B7*0.015</f>
        <v>16.2</v>
      </c>
      <c r="C91" s="46"/>
      <c r="D91" s="22" t="s">
        <v>217</v>
      </c>
      <c r="E91" s="52" t="s">
        <v>757</v>
      </c>
      <c r="I91" t="s">
        <v>93</v>
      </c>
      <c r="R91" s="39"/>
      <c r="S91" s="39"/>
      <c r="T91" s="39"/>
      <c r="W91" s="39" t="s">
        <v>752</v>
      </c>
    </row>
    <row r="92" spans="1:25">
      <c r="A92" t="s">
        <v>14</v>
      </c>
      <c r="B92" s="46">
        <f>'CAN Disability details 10-11'!B8*0.015</f>
        <v>1.5</v>
      </c>
      <c r="C92" s="46"/>
      <c r="D92" s="22" t="s">
        <v>217</v>
      </c>
      <c r="E92" t="s">
        <v>431</v>
      </c>
    </row>
    <row r="93" spans="1:25">
      <c r="A93" t="s">
        <v>2</v>
      </c>
      <c r="B93" s="46">
        <f>'CAN Disability details 10-11'!B9*0.015</f>
        <v>7.4999999999999997E-2</v>
      </c>
      <c r="C93" s="46"/>
      <c r="D93" s="22" t="s">
        <v>217</v>
      </c>
    </row>
    <row r="94" spans="1:25">
      <c r="A94" t="s">
        <v>68</v>
      </c>
      <c r="B94" s="46">
        <f>'CAN Disability details 10-11'!B10*0.015</f>
        <v>0</v>
      </c>
      <c r="C94" s="46"/>
      <c r="D94" s="22" t="s">
        <v>217</v>
      </c>
      <c r="E94" s="7"/>
    </row>
    <row r="95" spans="1:25">
      <c r="A95" t="s">
        <v>3</v>
      </c>
      <c r="B95" s="46">
        <f>'CAN Disability details 10-11'!B11*0.015</f>
        <v>2.0249999999999999</v>
      </c>
      <c r="C95" s="46"/>
      <c r="D95" s="22" t="s">
        <v>217</v>
      </c>
      <c r="E95" s="7"/>
    </row>
    <row r="96" spans="1:25">
      <c r="A96" t="s">
        <v>15</v>
      </c>
      <c r="B96" s="46">
        <f>'CAN Disability details 10-11'!B12*0.015</f>
        <v>3.306</v>
      </c>
      <c r="C96" s="46"/>
      <c r="D96" s="22" t="s">
        <v>217</v>
      </c>
      <c r="E96" s="7" t="s">
        <v>581</v>
      </c>
      <c r="W96" s="38" t="s">
        <v>579</v>
      </c>
      <c r="X96" s="38"/>
      <c r="Y96" s="38"/>
    </row>
    <row r="97" spans="1:25">
      <c r="A97" s="3" t="s">
        <v>24</v>
      </c>
      <c r="B97" s="138">
        <f>SUM(B90:B96)</f>
        <v>32.855999999999995</v>
      </c>
      <c r="C97" s="104"/>
      <c r="E97" s="7"/>
    </row>
    <row r="98" spans="1:25">
      <c r="B98" s="46"/>
      <c r="C98" s="46"/>
    </row>
    <row r="99" spans="1:25">
      <c r="A99" s="2" t="s">
        <v>4</v>
      </c>
      <c r="B99" s="46"/>
      <c r="C99" s="46"/>
    </row>
    <row r="100" spans="1:25">
      <c r="A100" t="s">
        <v>5</v>
      </c>
      <c r="B100" s="46">
        <v>122.3</v>
      </c>
      <c r="C100" s="46"/>
      <c r="E100" t="s">
        <v>553</v>
      </c>
      <c r="W100" t="s">
        <v>366</v>
      </c>
    </row>
    <row r="101" spans="1:25">
      <c r="A101" t="s">
        <v>69</v>
      </c>
      <c r="B101" s="105"/>
      <c r="C101" s="105"/>
    </row>
    <row r="102" spans="1:25">
      <c r="A102" t="s">
        <v>6</v>
      </c>
      <c r="B102" s="114">
        <v>29</v>
      </c>
      <c r="C102" s="114"/>
      <c r="D102" s="103"/>
      <c r="E102" s="103" t="s">
        <v>543</v>
      </c>
      <c r="F102" s="103"/>
      <c r="G102" s="103"/>
      <c r="H102" s="103"/>
      <c r="I102" s="103"/>
      <c r="J102" s="103"/>
      <c r="K102" s="103"/>
      <c r="L102" s="103"/>
      <c r="M102" s="103"/>
      <c r="N102" s="103"/>
      <c r="O102" s="103"/>
      <c r="P102" s="103"/>
      <c r="Q102" s="103"/>
      <c r="R102" s="103"/>
      <c r="S102" s="103"/>
      <c r="T102" s="103"/>
      <c r="U102" s="103"/>
      <c r="V102" s="111"/>
      <c r="W102" s="110" t="s">
        <v>519</v>
      </c>
      <c r="X102" s="110"/>
      <c r="Y102" s="110"/>
    </row>
    <row r="103" spans="1:25">
      <c r="A103" s="3" t="s">
        <v>24</v>
      </c>
      <c r="B103" s="112">
        <f>SUM(B100:B102)</f>
        <v>151.30000000000001</v>
      </c>
      <c r="C103" s="112"/>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row>
    <row r="104" spans="1:25">
      <c r="B104" s="46"/>
      <c r="C104" s="46"/>
    </row>
    <row r="105" spans="1:25">
      <c r="A105" t="s">
        <v>478</v>
      </c>
      <c r="B105" s="104">
        <f>29.8+7.7</f>
        <v>37.5</v>
      </c>
      <c r="C105" s="104" t="s">
        <v>237</v>
      </c>
      <c r="E105" t="s">
        <v>98</v>
      </c>
      <c r="V105" s="50"/>
      <c r="W105" t="s">
        <v>754</v>
      </c>
    </row>
    <row r="106" spans="1:25">
      <c r="A106" s="3"/>
      <c r="B106" s="104"/>
      <c r="C106" s="104"/>
    </row>
    <row r="107" spans="1:25">
      <c r="A107" s="2" t="s">
        <v>334</v>
      </c>
      <c r="B107" s="46"/>
      <c r="C107" s="46"/>
    </row>
    <row r="108" spans="1:25">
      <c r="A108" s="103" t="s">
        <v>335</v>
      </c>
      <c r="B108" s="46">
        <f>'SA $ by prov 10-11'!B4*0.25</f>
        <v>55.825000000000003</v>
      </c>
      <c r="C108" s="46" t="s">
        <v>437</v>
      </c>
      <c r="E108" s="150" t="s">
        <v>618</v>
      </c>
      <c r="W108" s="38" t="s">
        <v>525</v>
      </c>
      <c r="X108" s="38"/>
      <c r="Y108" s="38"/>
    </row>
    <row r="109" spans="1:25">
      <c r="A109" s="103"/>
      <c r="B109" s="46"/>
      <c r="C109" s="46"/>
      <c r="E109" s="75" t="s">
        <v>479</v>
      </c>
    </row>
    <row r="110" spans="1:25">
      <c r="A110" s="103"/>
      <c r="B110" s="46"/>
      <c r="C110" s="46"/>
      <c r="E110" s="75" t="s">
        <v>480</v>
      </c>
    </row>
    <row r="111" spans="1:25">
      <c r="A111" s="103" t="s">
        <v>12</v>
      </c>
      <c r="B111" s="46">
        <f>(72.6*0.007)*0.55</f>
        <v>0.27951000000000004</v>
      </c>
      <c r="C111" s="46" t="s">
        <v>437</v>
      </c>
      <c r="E111" s="218" t="s">
        <v>794</v>
      </c>
      <c r="W111" s="52" t="s">
        <v>792</v>
      </c>
    </row>
    <row r="112" spans="1:25">
      <c r="A112" s="115" t="s">
        <v>24</v>
      </c>
      <c r="B112" s="104">
        <f>SUM(B108:B111)</f>
        <v>56.104510000000005</v>
      </c>
      <c r="C112" s="104" t="s">
        <v>437</v>
      </c>
    </row>
    <row r="113" spans="1:28">
      <c r="A113" s="3"/>
      <c r="B113" s="104"/>
      <c r="C113" s="104"/>
    </row>
    <row r="114" spans="1:28">
      <c r="A114" s="2" t="s">
        <v>13</v>
      </c>
      <c r="B114" s="46"/>
      <c r="C114" s="46"/>
    </row>
    <row r="115" spans="1:28">
      <c r="A115" t="s">
        <v>7</v>
      </c>
      <c r="B115" s="46">
        <v>90.8</v>
      </c>
      <c r="C115" s="46"/>
      <c r="E115" t="s">
        <v>617</v>
      </c>
      <c r="W115" t="s">
        <v>205</v>
      </c>
    </row>
    <row r="116" spans="1:28">
      <c r="A116" t="s">
        <v>8</v>
      </c>
      <c r="B116" s="46"/>
      <c r="C116" s="46"/>
      <c r="E116" t="s">
        <v>167</v>
      </c>
    </row>
    <row r="117" spans="1:28">
      <c r="A117" s="3" t="s">
        <v>57</v>
      </c>
      <c r="B117" s="104">
        <f>SUM(B115:B116)</f>
        <v>90.8</v>
      </c>
      <c r="C117" s="104"/>
    </row>
    <row r="118" spans="1:28">
      <c r="A118" s="3"/>
      <c r="B118" s="104"/>
      <c r="C118" s="104"/>
    </row>
    <row r="119" spans="1:28">
      <c r="A119" t="s">
        <v>64</v>
      </c>
      <c r="B119" s="46"/>
      <c r="C119" s="46"/>
    </row>
    <row r="120" spans="1:28">
      <c r="A120" t="s">
        <v>9</v>
      </c>
      <c r="B120" s="46">
        <v>9</v>
      </c>
      <c r="C120" s="46"/>
      <c r="E120" t="s">
        <v>548</v>
      </c>
      <c r="W120" t="s">
        <v>75</v>
      </c>
    </row>
    <row r="121" spans="1:28">
      <c r="A121" t="s">
        <v>10</v>
      </c>
      <c r="B121" s="46">
        <v>53</v>
      </c>
      <c r="C121" s="46"/>
      <c r="E121" t="s">
        <v>548</v>
      </c>
    </row>
    <row r="122" spans="1:28">
      <c r="A122" s="3" t="s">
        <v>24</v>
      </c>
      <c r="B122" s="104">
        <f>SUM(B120:B121)</f>
        <v>62</v>
      </c>
      <c r="C122" s="104"/>
      <c r="E122" t="s">
        <v>429</v>
      </c>
    </row>
    <row r="123" spans="1:28">
      <c r="B123" s="46"/>
      <c r="C123" s="46"/>
    </row>
    <row r="124" spans="1:28" ht="15.75">
      <c r="A124" s="4" t="s">
        <v>23</v>
      </c>
      <c r="B124" s="139">
        <f>SUM(B97+B103+B105+B111+B108+B117+B122)</f>
        <v>430.56051000000002</v>
      </c>
      <c r="C124" s="49"/>
    </row>
    <row r="125" spans="1:28">
      <c r="V125" s="50"/>
      <c r="W125" s="50"/>
      <c r="X125" s="50"/>
      <c r="Y125" s="50"/>
      <c r="Z125" s="2"/>
      <c r="AA125" s="2"/>
      <c r="AB125" s="2"/>
    </row>
    <row r="126" spans="1:28">
      <c r="V126" s="50"/>
      <c r="W126" s="50"/>
      <c r="X126" s="50"/>
      <c r="Y126" s="50"/>
      <c r="Z126" s="2"/>
      <c r="AA126" s="2"/>
      <c r="AB126" s="2"/>
    </row>
    <row r="127" spans="1:28">
      <c r="B127" s="41" t="s">
        <v>419</v>
      </c>
      <c r="C127" s="41"/>
      <c r="V127" s="50"/>
      <c r="W127" s="50"/>
      <c r="X127" s="50"/>
      <c r="Y127" s="50"/>
      <c r="Z127" s="2"/>
      <c r="AA127" s="2"/>
      <c r="AB127" s="2"/>
    </row>
    <row r="128" spans="1:28">
      <c r="B128" s="41" t="s">
        <v>689</v>
      </c>
      <c r="C128" s="41"/>
      <c r="V128" s="50"/>
      <c r="W128" s="50"/>
      <c r="X128" s="50"/>
      <c r="Y128" s="50"/>
      <c r="Z128" s="2"/>
      <c r="AA128" s="2"/>
      <c r="AB128" s="2"/>
    </row>
    <row r="129" spans="1:28">
      <c r="B129" s="41" t="s">
        <v>16</v>
      </c>
      <c r="C129" s="41"/>
      <c r="V129" s="50"/>
      <c r="W129" s="50"/>
      <c r="X129" s="50"/>
      <c r="Y129" s="50"/>
      <c r="Z129" s="2"/>
      <c r="AA129" s="2"/>
      <c r="AB129" s="2"/>
    </row>
    <row r="130" spans="1:28">
      <c r="A130" s="2" t="s">
        <v>11</v>
      </c>
      <c r="B130" s="106"/>
      <c r="C130" s="106"/>
      <c r="V130" s="50"/>
      <c r="W130" s="50"/>
      <c r="X130" s="50"/>
      <c r="Y130" s="50"/>
      <c r="Z130" s="2"/>
      <c r="AA130" s="2"/>
      <c r="AB130" s="2"/>
    </row>
    <row r="131" spans="1:28">
      <c r="B131" s="106"/>
      <c r="C131" s="106"/>
      <c r="V131" s="50"/>
      <c r="W131" s="50"/>
      <c r="X131" s="50"/>
      <c r="Y131" s="50"/>
      <c r="Z131" s="2"/>
      <c r="AA131" s="2"/>
      <c r="AB131" s="2"/>
    </row>
    <row r="132" spans="1:28">
      <c r="A132" t="s">
        <v>0</v>
      </c>
      <c r="B132" s="143">
        <f>'CAN Disability details 11-12'!B6*0.015</f>
        <v>10.125</v>
      </c>
      <c r="C132" s="46"/>
      <c r="D132" s="257" t="s">
        <v>217</v>
      </c>
      <c r="E132" s="52" t="s">
        <v>811</v>
      </c>
      <c r="R132" s="145"/>
      <c r="S132" s="145"/>
      <c r="T132" s="145"/>
      <c r="U132" s="145" t="s">
        <v>810</v>
      </c>
      <c r="V132" s="50"/>
      <c r="W132" s="50"/>
      <c r="X132" s="50"/>
      <c r="Y132" s="50"/>
      <c r="Z132" s="2"/>
      <c r="AA132" s="2"/>
      <c r="AB132" s="2"/>
    </row>
    <row r="133" spans="1:28">
      <c r="A133" t="s">
        <v>1</v>
      </c>
      <c r="B133" s="143">
        <f>'CAN Disability details 11-12'!B7*0.015</f>
        <v>17.024999999999999</v>
      </c>
      <c r="C133" s="46"/>
      <c r="D133" s="257" t="s">
        <v>217</v>
      </c>
      <c r="E133" s="52" t="s">
        <v>757</v>
      </c>
      <c r="I133" t="s">
        <v>93</v>
      </c>
      <c r="R133" s="39"/>
      <c r="S133" s="39"/>
      <c r="T133" s="39"/>
      <c r="U133" s="39" t="s">
        <v>752</v>
      </c>
      <c r="V133" s="50"/>
      <c r="W133" s="50"/>
      <c r="X133" s="50"/>
      <c r="Y133" s="50"/>
      <c r="Z133" s="2"/>
      <c r="AA133" s="2"/>
      <c r="AB133" s="2"/>
    </row>
    <row r="134" spans="1:28">
      <c r="A134" t="s">
        <v>14</v>
      </c>
      <c r="B134" s="143">
        <f>'CAN Disability details 11-12'!B8*0.015</f>
        <v>1.575</v>
      </c>
      <c r="C134" s="46"/>
      <c r="D134" s="257" t="s">
        <v>217</v>
      </c>
      <c r="E134" s="52" t="s">
        <v>758</v>
      </c>
      <c r="R134" s="39"/>
      <c r="S134" s="39"/>
      <c r="T134" s="39"/>
      <c r="U134" s="39"/>
      <c r="V134" s="50"/>
      <c r="W134" s="50"/>
      <c r="X134" s="50"/>
      <c r="Y134" s="50"/>
      <c r="Z134" s="2"/>
      <c r="AA134" s="2"/>
      <c r="AB134" s="2"/>
    </row>
    <row r="135" spans="1:28">
      <c r="A135" t="s">
        <v>2</v>
      </c>
      <c r="B135" s="46">
        <f>'CAN Disability details 11-12'!B9*0.015</f>
        <v>7.4999999999999997E-2</v>
      </c>
      <c r="C135" s="46"/>
      <c r="D135" s="257" t="s">
        <v>217</v>
      </c>
      <c r="R135" s="39"/>
      <c r="S135" s="39"/>
      <c r="T135" s="39"/>
      <c r="U135" s="39"/>
      <c r="V135" s="50"/>
      <c r="W135" s="50"/>
      <c r="X135" s="50"/>
      <c r="Y135" s="50"/>
      <c r="Z135" s="2"/>
      <c r="AA135" s="2"/>
      <c r="AB135" s="2"/>
    </row>
    <row r="136" spans="1:28">
      <c r="A136" t="s">
        <v>68</v>
      </c>
      <c r="B136" s="46">
        <f>'CAN Disability details 11-12'!B10*0.015</f>
        <v>0</v>
      </c>
      <c r="C136" s="46"/>
      <c r="D136" s="257" t="s">
        <v>217</v>
      </c>
      <c r="R136" s="39"/>
      <c r="S136" s="39"/>
      <c r="T136" s="39"/>
      <c r="U136" s="39"/>
      <c r="V136" s="50"/>
      <c r="W136" s="50"/>
      <c r="X136" s="50"/>
      <c r="Y136" s="50"/>
      <c r="Z136" s="2"/>
      <c r="AA136" s="2"/>
      <c r="AB136" s="2"/>
    </row>
    <row r="137" spans="1:28">
      <c r="A137" t="s">
        <v>3</v>
      </c>
      <c r="B137" s="46">
        <f>'CAN Disability details 11-12'!B11*0.015</f>
        <v>2.0249999999999999</v>
      </c>
      <c r="C137" s="46"/>
      <c r="D137" s="257" t="s">
        <v>217</v>
      </c>
      <c r="R137" s="39"/>
      <c r="S137" s="39"/>
      <c r="T137" s="39"/>
      <c r="U137" s="39"/>
      <c r="V137" s="50"/>
      <c r="W137" s="50"/>
      <c r="X137" s="50"/>
      <c r="Y137" s="50"/>
      <c r="Z137" s="2"/>
      <c r="AA137" s="2"/>
      <c r="AB137" s="2"/>
    </row>
    <row r="138" spans="1:28">
      <c r="A138" t="s">
        <v>15</v>
      </c>
      <c r="B138" s="143">
        <f>'CAN Disability details 11-12'!B12*0.015</f>
        <v>3.8018999999999994</v>
      </c>
      <c r="C138" s="46"/>
      <c r="D138" s="257" t="s">
        <v>217</v>
      </c>
      <c r="E138" s="248" t="s">
        <v>812</v>
      </c>
      <c r="F138" s="249"/>
      <c r="G138" s="249"/>
      <c r="H138" s="249"/>
      <c r="I138" s="30"/>
      <c r="J138" s="30"/>
      <c r="K138" s="30"/>
      <c r="L138" s="30"/>
      <c r="M138" s="30"/>
      <c r="N138" s="30"/>
      <c r="O138" s="30"/>
      <c r="P138" s="30"/>
      <c r="Q138" s="171"/>
      <c r="R138" s="145"/>
      <c r="S138" s="145"/>
      <c r="T138" s="145"/>
      <c r="U138" s="145"/>
      <c r="V138" s="50"/>
      <c r="W138" s="50"/>
      <c r="X138" s="50"/>
      <c r="Y138" s="50"/>
      <c r="Z138" s="2"/>
      <c r="AA138" s="2"/>
      <c r="AB138" s="2"/>
    </row>
    <row r="139" spans="1:28">
      <c r="A139" s="3" t="s">
        <v>24</v>
      </c>
      <c r="B139" s="138">
        <f>SUM(B132:B138)</f>
        <v>34.626899999999992</v>
      </c>
      <c r="C139" s="104"/>
      <c r="E139" s="6"/>
      <c r="Q139" s="111"/>
      <c r="R139" s="39"/>
      <c r="S139" s="39"/>
      <c r="T139" s="39"/>
      <c r="U139" s="39"/>
      <c r="V139" s="50"/>
      <c r="W139" s="50"/>
      <c r="X139" s="50"/>
      <c r="Y139" s="50"/>
      <c r="Z139" s="2"/>
      <c r="AA139" s="2"/>
      <c r="AB139" s="2"/>
    </row>
    <row r="140" spans="1:28">
      <c r="B140" s="46"/>
      <c r="C140" s="46"/>
      <c r="Q140" s="29"/>
      <c r="R140" s="39"/>
      <c r="S140" s="39"/>
      <c r="T140" s="39"/>
      <c r="U140" s="39"/>
      <c r="V140" s="50"/>
      <c r="W140" s="50"/>
      <c r="X140" s="50"/>
      <c r="Y140" s="50"/>
      <c r="Z140" s="2"/>
      <c r="AA140" s="2"/>
      <c r="AB140" s="2"/>
    </row>
    <row r="141" spans="1:28">
      <c r="A141" s="2" t="s">
        <v>4</v>
      </c>
      <c r="B141" s="46"/>
      <c r="C141" s="46"/>
      <c r="Q141" s="29"/>
      <c r="R141" s="39"/>
      <c r="S141" s="39"/>
      <c r="T141" s="39"/>
      <c r="U141" s="39"/>
      <c r="V141" s="50"/>
      <c r="W141" s="50"/>
      <c r="X141" s="50"/>
      <c r="Y141" s="50"/>
      <c r="Z141" s="2"/>
      <c r="AA141" s="2"/>
      <c r="AB141" s="2"/>
    </row>
    <row r="142" spans="1:28">
      <c r="A142" t="s">
        <v>5</v>
      </c>
      <c r="B142" s="46">
        <v>125.7</v>
      </c>
      <c r="C142" s="46"/>
      <c r="E142" s="52" t="s">
        <v>747</v>
      </c>
      <c r="F142" s="30"/>
      <c r="G142" s="30"/>
      <c r="H142" s="30"/>
      <c r="I142" s="30"/>
      <c r="J142" s="30"/>
      <c r="K142" s="30"/>
      <c r="L142" s="30"/>
      <c r="M142" s="30"/>
      <c r="N142" s="30"/>
      <c r="O142" s="30"/>
      <c r="P142" s="30"/>
      <c r="Q142" s="172"/>
      <c r="R142" s="39"/>
      <c r="S142" s="39"/>
      <c r="T142" s="39"/>
      <c r="U142" s="39" t="s">
        <v>693</v>
      </c>
      <c r="V142" s="50"/>
      <c r="W142" s="50"/>
      <c r="X142" s="50"/>
      <c r="Y142" s="50"/>
      <c r="Z142" s="2"/>
      <c r="AA142" s="2"/>
      <c r="AB142" s="2"/>
    </row>
    <row r="143" spans="1:28">
      <c r="A143" t="s">
        <v>69</v>
      </c>
      <c r="C143" s="105"/>
      <c r="E143" s="321" t="s">
        <v>748</v>
      </c>
      <c r="F143" s="321"/>
      <c r="G143" s="321"/>
      <c r="H143" s="321"/>
      <c r="I143" s="321"/>
      <c r="J143" s="321"/>
      <c r="K143" s="321"/>
      <c r="L143" s="321"/>
      <c r="M143" s="321"/>
      <c r="N143" s="321"/>
      <c r="O143" s="321"/>
      <c r="P143" s="321"/>
      <c r="Q143" s="172"/>
      <c r="R143" s="39"/>
      <c r="S143" s="39"/>
      <c r="T143" s="39"/>
      <c r="U143" s="39" t="s">
        <v>693</v>
      </c>
      <c r="V143" s="50"/>
      <c r="W143" s="50"/>
      <c r="X143" s="50"/>
      <c r="Y143" s="50"/>
      <c r="Z143" s="2"/>
      <c r="AA143" s="2"/>
      <c r="AB143" s="2"/>
    </row>
    <row r="144" spans="1:28">
      <c r="A144" t="s">
        <v>6</v>
      </c>
      <c r="B144" s="105">
        <v>32.1</v>
      </c>
      <c r="C144" s="114"/>
      <c r="D144" s="103"/>
      <c r="E144" s="120" t="s">
        <v>694</v>
      </c>
      <c r="F144" s="103"/>
      <c r="G144" s="103"/>
      <c r="H144" s="103"/>
      <c r="I144" s="103"/>
      <c r="J144" s="103"/>
      <c r="K144" s="103"/>
      <c r="L144" s="103"/>
      <c r="M144" s="103"/>
      <c r="N144" s="103"/>
      <c r="O144" s="103"/>
      <c r="P144" s="103"/>
      <c r="Q144" s="111"/>
      <c r="R144" s="145"/>
      <c r="S144" s="145"/>
      <c r="T144" s="145"/>
      <c r="U144" s="145" t="s">
        <v>519</v>
      </c>
      <c r="V144" s="50"/>
      <c r="W144" s="50"/>
      <c r="X144" s="50"/>
      <c r="Y144" s="50"/>
      <c r="Z144" s="2"/>
      <c r="AA144" s="2"/>
      <c r="AB144" s="2"/>
    </row>
    <row r="145" spans="1:28">
      <c r="A145" s="3" t="s">
        <v>24</v>
      </c>
      <c r="B145" s="112">
        <f>SUM(B142:B144)</f>
        <v>157.80000000000001</v>
      </c>
      <c r="C145" s="112"/>
      <c r="D145" s="103"/>
      <c r="E145" s="103"/>
      <c r="F145" s="103"/>
      <c r="G145" s="103"/>
      <c r="H145" s="103"/>
      <c r="I145" s="103"/>
      <c r="J145" s="103"/>
      <c r="K145" s="103"/>
      <c r="L145" s="103"/>
      <c r="M145" s="103"/>
      <c r="N145" s="103"/>
      <c r="O145" s="103"/>
      <c r="P145" s="103"/>
      <c r="Q145" s="103"/>
      <c r="R145" s="103"/>
      <c r="S145" s="103"/>
      <c r="V145" s="50"/>
      <c r="W145" s="50"/>
      <c r="X145" s="50"/>
      <c r="Y145" s="50"/>
      <c r="Z145" s="2"/>
      <c r="AA145" s="2"/>
      <c r="AB145" s="2"/>
    </row>
    <row r="146" spans="1:28">
      <c r="B146" s="46"/>
      <c r="C146" s="46"/>
      <c r="V146" s="50"/>
      <c r="W146" s="50"/>
      <c r="X146" s="50"/>
      <c r="Y146" s="50"/>
      <c r="Z146" s="2"/>
      <c r="AA146" s="2"/>
      <c r="AB146" s="2"/>
    </row>
    <row r="147" spans="1:28">
      <c r="A147" t="s">
        <v>478</v>
      </c>
      <c r="B147" s="104">
        <f>30.2+6.6</f>
        <v>36.799999999999997</v>
      </c>
      <c r="C147" s="104" t="s">
        <v>437</v>
      </c>
      <c r="E147" t="s">
        <v>98</v>
      </c>
      <c r="U147" t="s">
        <v>754</v>
      </c>
      <c r="V147" s="50"/>
      <c r="W147" s="50"/>
      <c r="X147" s="50"/>
      <c r="Y147" s="50"/>
      <c r="Z147" s="2"/>
      <c r="AA147" s="2"/>
      <c r="AB147" s="2"/>
    </row>
    <row r="148" spans="1:28">
      <c r="A148" s="3"/>
      <c r="B148" s="104"/>
      <c r="C148" s="104"/>
      <c r="V148" s="50"/>
      <c r="W148" s="50"/>
      <c r="X148" s="50"/>
      <c r="Y148" s="50"/>
      <c r="Z148" s="2"/>
      <c r="AA148" s="2"/>
      <c r="AB148" s="2"/>
    </row>
    <row r="149" spans="1:28">
      <c r="A149" s="2" t="s">
        <v>334</v>
      </c>
      <c r="B149" s="46"/>
      <c r="C149" s="46"/>
      <c r="V149" s="50"/>
      <c r="W149" s="50"/>
      <c r="X149" s="50"/>
      <c r="Y149" s="50"/>
      <c r="Z149" s="2"/>
      <c r="AA149" s="2"/>
      <c r="AB149" s="2"/>
    </row>
    <row r="150" spans="1:28">
      <c r="A150" s="103" t="s">
        <v>335</v>
      </c>
      <c r="B150" s="46">
        <f>'SA $ by prov 11-12'!B4*0.25</f>
        <v>56.55</v>
      </c>
      <c r="C150" s="46" t="s">
        <v>437</v>
      </c>
      <c r="E150" s="150" t="s">
        <v>755</v>
      </c>
      <c r="U150" t="s">
        <v>721</v>
      </c>
      <c r="V150" s="50"/>
      <c r="W150" s="50"/>
      <c r="X150" s="50"/>
      <c r="Y150" s="50"/>
      <c r="Z150" s="2"/>
      <c r="AA150" s="2"/>
      <c r="AB150" s="2"/>
    </row>
    <row r="151" spans="1:28">
      <c r="A151" s="103"/>
      <c r="B151" s="46"/>
      <c r="C151" s="46"/>
      <c r="E151" s="75" t="s">
        <v>479</v>
      </c>
      <c r="V151" s="50"/>
      <c r="W151" s="50"/>
      <c r="X151" s="50"/>
      <c r="Y151" s="50"/>
      <c r="Z151" s="2"/>
      <c r="AA151" s="2"/>
      <c r="AB151" s="2"/>
    </row>
    <row r="152" spans="1:28">
      <c r="A152" s="103"/>
      <c r="B152" s="46"/>
      <c r="C152" s="46"/>
      <c r="E152" s="218" t="s">
        <v>744</v>
      </c>
      <c r="U152" s="52" t="s">
        <v>792</v>
      </c>
      <c r="V152" s="50"/>
      <c r="W152" s="50"/>
      <c r="X152" s="50"/>
      <c r="Y152" s="50"/>
      <c r="Z152" s="2"/>
      <c r="AA152" s="2"/>
      <c r="AB152" s="2"/>
    </row>
    <row r="153" spans="1:28">
      <c r="A153" s="103" t="s">
        <v>12</v>
      </c>
      <c r="B153" s="46">
        <f>(72*0.007)*0.55</f>
        <v>0.2772</v>
      </c>
      <c r="C153" s="46" t="s">
        <v>437</v>
      </c>
      <c r="E153" s="218" t="s">
        <v>794</v>
      </c>
      <c r="X153" s="50"/>
      <c r="Y153" s="50"/>
      <c r="Z153" s="2"/>
      <c r="AA153" s="2"/>
      <c r="AB153" s="2"/>
    </row>
    <row r="154" spans="1:28">
      <c r="A154" s="115" t="s">
        <v>24</v>
      </c>
      <c r="B154" s="104">
        <f>SUM(B150:B153)</f>
        <v>56.827199999999998</v>
      </c>
      <c r="C154" s="104" t="s">
        <v>437</v>
      </c>
      <c r="V154" s="50"/>
      <c r="W154" s="50"/>
      <c r="X154" s="50"/>
      <c r="Y154" s="50"/>
      <c r="Z154" s="2"/>
      <c r="AA154" s="2"/>
      <c r="AB154" s="2"/>
    </row>
    <row r="155" spans="1:28">
      <c r="A155" s="3"/>
      <c r="B155" s="104"/>
      <c r="C155" s="104"/>
      <c r="V155" s="50"/>
      <c r="W155" s="50"/>
      <c r="X155" s="50"/>
      <c r="Y155" s="50"/>
      <c r="Z155" s="2"/>
      <c r="AA155" s="2"/>
      <c r="AB155" s="2"/>
    </row>
    <row r="156" spans="1:28">
      <c r="A156" s="2" t="s">
        <v>13</v>
      </c>
      <c r="B156" s="46"/>
      <c r="C156" s="46"/>
      <c r="V156" s="50"/>
      <c r="W156" s="50"/>
      <c r="X156" s="50"/>
      <c r="Y156" s="50"/>
      <c r="Z156" s="2"/>
      <c r="AA156" s="2"/>
      <c r="AB156" s="2"/>
    </row>
    <row r="157" spans="1:28">
      <c r="A157" t="s">
        <v>7</v>
      </c>
      <c r="B157" s="46">
        <v>92.8</v>
      </c>
      <c r="C157" s="46"/>
      <c r="E157" t="s">
        <v>756</v>
      </c>
      <c r="U157" s="145" t="s">
        <v>205</v>
      </c>
      <c r="Z157" s="2"/>
      <c r="AA157" s="2"/>
      <c r="AB157" s="2"/>
    </row>
    <row r="158" spans="1:28">
      <c r="A158" t="s">
        <v>8</v>
      </c>
      <c r="B158" s="46"/>
      <c r="C158" s="46"/>
      <c r="E158" t="s">
        <v>167</v>
      </c>
      <c r="U158" s="39" t="s">
        <v>206</v>
      </c>
      <c r="Z158" s="2"/>
      <c r="AA158" s="2"/>
      <c r="AB158" s="2"/>
    </row>
    <row r="159" spans="1:28">
      <c r="A159" s="3" t="s">
        <v>57</v>
      </c>
      <c r="B159" s="104">
        <f>SUM(B157:B158)</f>
        <v>92.8</v>
      </c>
      <c r="C159" s="104"/>
      <c r="V159" s="50"/>
      <c r="W159" s="50"/>
      <c r="X159" s="50"/>
      <c r="Y159" s="50"/>
      <c r="Z159" s="2"/>
      <c r="AA159" s="2"/>
      <c r="AB159" s="2"/>
    </row>
    <row r="160" spans="1:28">
      <c r="A160" s="3"/>
      <c r="B160" s="104"/>
      <c r="C160" s="104"/>
      <c r="V160" s="50"/>
      <c r="W160" s="50"/>
      <c r="X160" s="50"/>
      <c r="Y160" s="50"/>
      <c r="Z160" s="2"/>
      <c r="AA160" s="2"/>
      <c r="AB160" s="2"/>
    </row>
    <row r="161" spans="1:28">
      <c r="A161" t="s">
        <v>64</v>
      </c>
      <c r="B161" s="46"/>
      <c r="C161" s="46"/>
      <c r="V161" s="50"/>
      <c r="W161" s="50"/>
      <c r="X161" s="50"/>
      <c r="Y161" s="50"/>
      <c r="Z161" s="2"/>
      <c r="AA161" s="2"/>
      <c r="AB161" s="2"/>
    </row>
    <row r="162" spans="1:28">
      <c r="A162" t="s">
        <v>9</v>
      </c>
      <c r="B162" s="46">
        <v>9</v>
      </c>
      <c r="C162" s="46"/>
      <c r="E162" t="s">
        <v>548</v>
      </c>
      <c r="U162" s="52" t="s">
        <v>762</v>
      </c>
      <c r="V162" s="50"/>
      <c r="W162" s="50"/>
      <c r="X162" s="50"/>
      <c r="Y162" s="50"/>
      <c r="Z162" s="2"/>
      <c r="AA162" s="2"/>
      <c r="AB162" s="2"/>
    </row>
    <row r="163" spans="1:28">
      <c r="A163" t="s">
        <v>10</v>
      </c>
      <c r="B163" s="46">
        <v>59</v>
      </c>
      <c r="C163" s="46"/>
      <c r="E163" t="s">
        <v>548</v>
      </c>
      <c r="U163" t="s">
        <v>692</v>
      </c>
      <c r="V163" s="50"/>
      <c r="W163" s="50"/>
      <c r="X163" s="50"/>
      <c r="Y163" s="50"/>
      <c r="Z163" s="2"/>
      <c r="AA163" s="2"/>
      <c r="AB163" s="2"/>
    </row>
    <row r="164" spans="1:28">
      <c r="A164" s="3" t="s">
        <v>24</v>
      </c>
      <c r="B164" s="104">
        <f>SUM(B162:B163)</f>
        <v>68</v>
      </c>
      <c r="C164" s="104"/>
      <c r="E164" t="s">
        <v>429</v>
      </c>
      <c r="V164" s="50"/>
      <c r="W164" s="50"/>
      <c r="X164" s="50"/>
      <c r="Y164" s="50"/>
      <c r="Z164" s="2"/>
      <c r="AA164" s="2"/>
      <c r="AB164" s="2"/>
    </row>
    <row r="165" spans="1:28">
      <c r="B165" s="46"/>
      <c r="C165" s="46"/>
      <c r="V165" s="50"/>
      <c r="W165" s="50"/>
      <c r="X165" s="50"/>
      <c r="Y165" s="50"/>
      <c r="Z165" s="2"/>
      <c r="AA165" s="2"/>
      <c r="AB165" s="2"/>
    </row>
    <row r="166" spans="1:28" ht="15.75">
      <c r="A166" s="4" t="s">
        <v>23</v>
      </c>
      <c r="B166" s="28">
        <f>SUM(B139+B145+B147+B153+B150+B159+B164)</f>
        <v>446.85410000000002</v>
      </c>
      <c r="C166" s="49"/>
      <c r="V166" s="39"/>
      <c r="W166" s="50"/>
      <c r="X166" s="50"/>
      <c r="Y166" s="50"/>
      <c r="Z166" s="2"/>
      <c r="AA166" s="2"/>
      <c r="AB166" s="2"/>
    </row>
    <row r="167" spans="1:28" ht="15.75">
      <c r="A167" s="4"/>
      <c r="B167" s="28"/>
      <c r="C167" s="49"/>
      <c r="V167" s="50"/>
      <c r="W167" s="50"/>
      <c r="X167" s="50"/>
      <c r="Y167" s="50"/>
      <c r="Z167" s="2"/>
      <c r="AA167" s="2"/>
      <c r="AB167" s="2"/>
    </row>
    <row r="168" spans="1:28" ht="15.75">
      <c r="A168" s="4"/>
      <c r="B168" s="28"/>
      <c r="C168" s="49"/>
      <c r="V168" s="50"/>
      <c r="W168" s="50"/>
      <c r="X168" s="50"/>
      <c r="Y168" s="50"/>
      <c r="Z168" s="2"/>
      <c r="AA168" s="2"/>
      <c r="AB168" s="2"/>
    </row>
    <row r="169" spans="1:28">
      <c r="B169" s="41" t="s">
        <v>419</v>
      </c>
      <c r="C169" s="41"/>
      <c r="V169" s="50"/>
      <c r="W169" s="50"/>
      <c r="X169" s="50"/>
      <c r="Y169" s="50"/>
      <c r="Z169" s="2"/>
      <c r="AA169" s="2"/>
      <c r="AB169" s="2"/>
    </row>
    <row r="170" spans="1:28">
      <c r="B170" s="41" t="s">
        <v>823</v>
      </c>
      <c r="C170" s="41"/>
      <c r="V170" s="50"/>
      <c r="W170" s="50"/>
      <c r="X170" s="50"/>
      <c r="Y170" s="50"/>
      <c r="Z170" s="2"/>
      <c r="AA170" s="2"/>
      <c r="AB170" s="2"/>
    </row>
    <row r="171" spans="1:28">
      <c r="B171" s="41" t="s">
        <v>16</v>
      </c>
      <c r="C171" s="41"/>
      <c r="V171" s="50"/>
      <c r="W171" s="50"/>
      <c r="X171" s="50"/>
      <c r="Y171" s="50"/>
      <c r="Z171" s="2"/>
      <c r="AA171" s="2"/>
      <c r="AB171" s="2"/>
    </row>
    <row r="172" spans="1:28">
      <c r="A172" s="2" t="s">
        <v>11</v>
      </c>
      <c r="B172" s="106"/>
      <c r="C172" s="106"/>
      <c r="V172" s="50"/>
      <c r="W172" s="50"/>
      <c r="X172" s="50"/>
      <c r="Y172" s="50"/>
      <c r="Z172" s="2"/>
      <c r="AA172" s="2"/>
      <c r="AB172" s="2"/>
    </row>
    <row r="173" spans="1:28">
      <c r="B173" s="106"/>
      <c r="C173" s="106"/>
      <c r="V173" s="50"/>
      <c r="W173" s="50"/>
      <c r="X173" s="50"/>
      <c r="Y173" s="50"/>
      <c r="Z173" s="2"/>
      <c r="AA173" s="2"/>
      <c r="AB173" s="2"/>
    </row>
    <row r="174" spans="1:28">
      <c r="A174" t="s">
        <v>0</v>
      </c>
      <c r="B174" s="46">
        <f>'CAN Disability details 12-13'!B6*0.015</f>
        <v>10.35</v>
      </c>
      <c r="C174" s="46"/>
      <c r="D174" s="302" t="s">
        <v>217</v>
      </c>
      <c r="E174" s="52" t="s">
        <v>811</v>
      </c>
      <c r="V174" s="50"/>
      <c r="W174" s="50"/>
      <c r="X174" s="50"/>
      <c r="Y174" s="50"/>
      <c r="Z174" s="2"/>
      <c r="AA174" s="2"/>
      <c r="AB174" s="2"/>
    </row>
    <row r="175" spans="1:28">
      <c r="A175" t="s">
        <v>1</v>
      </c>
      <c r="B175" s="46">
        <f>'CAN Disability details 12-13'!B7*0.015</f>
        <v>18</v>
      </c>
      <c r="C175" s="46"/>
      <c r="D175" s="302" t="s">
        <v>217</v>
      </c>
      <c r="E175" s="52" t="s">
        <v>757</v>
      </c>
      <c r="I175" t="s">
        <v>93</v>
      </c>
      <c r="V175" s="50"/>
      <c r="W175" s="50"/>
      <c r="X175" s="50"/>
      <c r="Y175" s="50"/>
      <c r="Z175" s="2"/>
      <c r="AA175" s="2"/>
      <c r="AB175" s="2"/>
    </row>
    <row r="176" spans="1:28">
      <c r="A176" t="s">
        <v>14</v>
      </c>
      <c r="B176" s="46">
        <f>'CAN Disability details 12-13'!B8*0.015</f>
        <v>1.575</v>
      </c>
      <c r="C176" s="46"/>
      <c r="D176" s="302" t="s">
        <v>217</v>
      </c>
      <c r="E176" s="52" t="s">
        <v>758</v>
      </c>
      <c r="V176" s="50"/>
      <c r="W176" s="50"/>
      <c r="X176" s="50"/>
      <c r="Y176" s="50"/>
      <c r="Z176" s="2"/>
      <c r="AA176" s="2"/>
      <c r="AB176" s="2"/>
    </row>
    <row r="177" spans="1:28">
      <c r="A177" t="s">
        <v>2</v>
      </c>
      <c r="B177" s="46">
        <f>'CAN Disability details 12-13'!B9*0.015</f>
        <v>7.4999999999999997E-2</v>
      </c>
      <c r="C177" s="46"/>
      <c r="D177" s="302" t="s">
        <v>217</v>
      </c>
      <c r="V177" s="50"/>
      <c r="W177" s="50"/>
      <c r="X177" s="50"/>
      <c r="Y177" s="50"/>
      <c r="Z177" s="2"/>
      <c r="AA177" s="2"/>
      <c r="AB177" s="2"/>
    </row>
    <row r="178" spans="1:28">
      <c r="A178" t="s">
        <v>68</v>
      </c>
      <c r="B178" s="46">
        <f>'CAN Disability details 12-13'!B10*0.015</f>
        <v>0</v>
      </c>
      <c r="C178" s="46"/>
      <c r="D178" s="302" t="s">
        <v>217</v>
      </c>
      <c r="V178" s="50"/>
      <c r="W178" s="50"/>
      <c r="X178" s="50"/>
      <c r="Y178" s="50"/>
      <c r="Z178" s="2"/>
      <c r="AA178" s="2"/>
      <c r="AB178" s="2"/>
    </row>
    <row r="179" spans="1:28">
      <c r="A179" t="s">
        <v>3</v>
      </c>
      <c r="B179" s="46">
        <f>'CAN Disability details 12-13'!B11*0.015</f>
        <v>2.1</v>
      </c>
      <c r="C179" s="46"/>
      <c r="D179" s="302" t="s">
        <v>217</v>
      </c>
      <c r="V179" s="50"/>
      <c r="W179" s="50"/>
      <c r="X179" s="50"/>
      <c r="Y179" s="50"/>
      <c r="Z179" s="2"/>
      <c r="AA179" s="2"/>
      <c r="AB179" s="2"/>
    </row>
    <row r="180" spans="1:28">
      <c r="A180" t="s">
        <v>15</v>
      </c>
      <c r="B180" s="46">
        <f>'CAN Disability details 12-13'!B12*0.015</f>
        <v>3.9672000000000001</v>
      </c>
      <c r="C180" s="46"/>
      <c r="D180" s="302" t="s">
        <v>217</v>
      </c>
      <c r="E180" s="248" t="s">
        <v>812</v>
      </c>
      <c r="F180" s="249"/>
      <c r="G180" s="249"/>
      <c r="H180" s="249"/>
      <c r="I180" s="30"/>
      <c r="J180" s="30"/>
      <c r="K180" s="30"/>
      <c r="L180" s="30"/>
      <c r="M180" s="30"/>
      <c r="N180" s="30"/>
      <c r="O180" s="30"/>
      <c r="P180" s="30"/>
      <c r="V180" s="50"/>
      <c r="W180" s="50"/>
      <c r="X180" s="50"/>
      <c r="Y180" s="50"/>
      <c r="Z180" s="2"/>
      <c r="AA180" s="2"/>
      <c r="AB180" s="2"/>
    </row>
    <row r="181" spans="1:28">
      <c r="A181" s="3" t="s">
        <v>24</v>
      </c>
      <c r="B181" s="104">
        <f>SUM(B174:B180)</f>
        <v>36.0672</v>
      </c>
      <c r="C181" s="104"/>
      <c r="E181" s="6"/>
      <c r="V181" s="50"/>
      <c r="W181" s="50"/>
      <c r="X181" s="50"/>
      <c r="Y181" s="50"/>
      <c r="Z181" s="2"/>
      <c r="AA181" s="2"/>
      <c r="AB181" s="2"/>
    </row>
    <row r="182" spans="1:28">
      <c r="B182" s="46"/>
      <c r="C182" s="46"/>
      <c r="V182" s="50"/>
      <c r="W182" s="50"/>
      <c r="X182" s="50"/>
      <c r="Y182" s="50"/>
      <c r="Z182" s="2"/>
      <c r="AA182" s="2"/>
      <c r="AB182" s="2"/>
    </row>
    <row r="183" spans="1:28">
      <c r="A183" s="2" t="s">
        <v>4</v>
      </c>
      <c r="B183" s="46"/>
      <c r="C183" s="46"/>
      <c r="V183" s="50"/>
      <c r="W183" s="50"/>
      <c r="X183" s="50"/>
      <c r="Y183" s="50"/>
      <c r="Z183" s="2"/>
      <c r="AA183" s="2"/>
      <c r="AB183" s="2"/>
    </row>
    <row r="184" spans="1:28">
      <c r="A184" t="s">
        <v>5</v>
      </c>
      <c r="B184" s="46">
        <v>124.8</v>
      </c>
      <c r="C184" s="46"/>
      <c r="E184" s="52" t="s">
        <v>747</v>
      </c>
      <c r="F184" s="30"/>
      <c r="G184" s="30"/>
      <c r="H184" s="30"/>
      <c r="I184" s="30"/>
      <c r="J184" s="30"/>
      <c r="K184" s="30"/>
      <c r="L184" s="30"/>
      <c r="M184" s="30"/>
      <c r="N184" s="30"/>
      <c r="O184" s="30"/>
      <c r="P184" s="30"/>
      <c r="V184" s="50"/>
      <c r="W184" s="50"/>
      <c r="X184" s="50"/>
      <c r="Y184" s="50"/>
      <c r="Z184" s="2"/>
      <c r="AA184" s="2"/>
      <c r="AB184" s="2"/>
    </row>
    <row r="185" spans="1:28" ht="12.75" customHeight="1">
      <c r="A185" t="s">
        <v>69</v>
      </c>
      <c r="C185" s="105"/>
      <c r="E185" s="300"/>
      <c r="F185" s="300"/>
      <c r="G185" s="300"/>
      <c r="H185" s="300"/>
      <c r="I185" s="300"/>
      <c r="J185" s="300"/>
      <c r="K185" s="300"/>
      <c r="L185" s="300"/>
      <c r="M185" s="300"/>
      <c r="N185" s="300"/>
      <c r="O185" s="300"/>
      <c r="P185" s="300"/>
      <c r="V185" s="50"/>
      <c r="W185" s="50"/>
      <c r="X185" s="50"/>
      <c r="Y185" s="50"/>
      <c r="Z185" s="2"/>
      <c r="AA185" s="2"/>
      <c r="AB185" s="2"/>
    </row>
    <row r="186" spans="1:28">
      <c r="A186" t="s">
        <v>6</v>
      </c>
      <c r="B186" s="105">
        <v>36.299999999999997</v>
      </c>
      <c r="C186" s="114"/>
      <c r="D186" s="103"/>
      <c r="E186" s="120" t="s">
        <v>694</v>
      </c>
      <c r="F186" s="103"/>
      <c r="G186" s="103"/>
      <c r="H186" s="103"/>
      <c r="I186" s="103"/>
      <c r="J186" s="103"/>
      <c r="K186" s="103"/>
      <c r="L186" s="103"/>
      <c r="M186" s="103"/>
      <c r="N186" s="103"/>
      <c r="O186" s="103"/>
      <c r="P186" s="103"/>
      <c r="V186" s="50"/>
      <c r="W186" s="50"/>
      <c r="X186" s="50"/>
      <c r="Y186" s="50"/>
      <c r="Z186" s="2"/>
      <c r="AA186" s="2"/>
      <c r="AB186" s="2"/>
    </row>
    <row r="187" spans="1:28">
      <c r="A187" s="3" t="s">
        <v>24</v>
      </c>
      <c r="B187" s="112">
        <f>SUM(B184:B186)</f>
        <v>161.1</v>
      </c>
      <c r="C187" s="112"/>
      <c r="D187" s="103"/>
      <c r="E187" s="103"/>
      <c r="F187" s="103"/>
      <c r="G187" s="103"/>
      <c r="H187" s="103"/>
      <c r="I187" s="103"/>
      <c r="J187" s="103"/>
      <c r="K187" s="103"/>
      <c r="L187" s="103"/>
      <c r="M187" s="103"/>
      <c r="N187" s="103"/>
      <c r="O187" s="103"/>
      <c r="P187" s="103"/>
      <c r="V187" s="50"/>
      <c r="W187" s="50"/>
      <c r="X187" s="50"/>
      <c r="Y187" s="50"/>
      <c r="Z187" s="2"/>
      <c r="AA187" s="2"/>
      <c r="AB187" s="2"/>
    </row>
    <row r="188" spans="1:28">
      <c r="B188" s="46"/>
      <c r="C188" s="46"/>
      <c r="V188" s="50"/>
      <c r="W188" s="50"/>
      <c r="X188" s="50"/>
      <c r="Y188" s="50"/>
      <c r="Z188" s="2"/>
      <c r="AA188" s="2"/>
      <c r="AB188" s="2"/>
    </row>
    <row r="189" spans="1:28">
      <c r="A189" s="52" t="s">
        <v>955</v>
      </c>
      <c r="B189" s="46">
        <v>29.9</v>
      </c>
      <c r="C189" s="104"/>
      <c r="E189" t="s">
        <v>98</v>
      </c>
      <c r="V189" s="50"/>
      <c r="W189" s="50"/>
      <c r="X189" s="50"/>
      <c r="Y189" s="50"/>
      <c r="Z189" s="2"/>
      <c r="AA189" s="2"/>
      <c r="AB189" s="2"/>
    </row>
    <row r="190" spans="1:28">
      <c r="A190" s="52" t="s">
        <v>956</v>
      </c>
      <c r="B190" s="46">
        <v>7</v>
      </c>
      <c r="C190" s="104"/>
      <c r="V190" s="50"/>
      <c r="W190" s="50"/>
      <c r="X190" s="50"/>
      <c r="Y190" s="50"/>
      <c r="Z190" s="2"/>
      <c r="AA190" s="2"/>
      <c r="AB190" s="2"/>
    </row>
    <row r="191" spans="1:28">
      <c r="A191" s="3" t="s">
        <v>478</v>
      </c>
      <c r="B191" s="104">
        <f>SUM(B189:B190)</f>
        <v>36.9</v>
      </c>
      <c r="C191" s="104"/>
      <c r="V191" s="50"/>
      <c r="W191" s="50"/>
      <c r="X191" s="50"/>
      <c r="Y191" s="50"/>
      <c r="Z191" s="2"/>
      <c r="AA191" s="2"/>
      <c r="AB191" s="2"/>
    </row>
    <row r="192" spans="1:28">
      <c r="A192" s="3"/>
      <c r="B192" s="104"/>
      <c r="C192" s="104"/>
      <c r="V192" s="50"/>
      <c r="W192" s="50"/>
      <c r="X192" s="50"/>
      <c r="Y192" s="50"/>
      <c r="Z192" s="2"/>
      <c r="AA192" s="2"/>
      <c r="AB192" s="2"/>
    </row>
    <row r="193" spans="1:28">
      <c r="A193" s="2" t="s">
        <v>334</v>
      </c>
      <c r="B193" s="46"/>
      <c r="C193" s="46"/>
      <c r="V193" s="50"/>
      <c r="W193" s="50"/>
      <c r="X193" s="50"/>
      <c r="Y193" s="50"/>
      <c r="Z193" s="2"/>
      <c r="AA193" s="2"/>
      <c r="AB193" s="2"/>
    </row>
    <row r="194" spans="1:28">
      <c r="A194" s="103" t="s">
        <v>335</v>
      </c>
      <c r="B194" s="46">
        <f>'SA $ by prov 12-13'!B4*0.25</f>
        <v>57.274999999999999</v>
      </c>
      <c r="C194" s="46" t="s">
        <v>437</v>
      </c>
      <c r="E194" s="262" t="s">
        <v>755</v>
      </c>
      <c r="V194" s="50"/>
      <c r="W194" s="50"/>
      <c r="X194" s="50"/>
      <c r="Y194" s="50"/>
      <c r="Z194" s="2"/>
      <c r="AA194" s="2"/>
      <c r="AB194" s="2"/>
    </row>
    <row r="195" spans="1:28">
      <c r="A195" s="103"/>
      <c r="B195" s="46"/>
      <c r="C195" s="46"/>
      <c r="E195" s="75" t="s">
        <v>479</v>
      </c>
      <c r="V195" s="50"/>
      <c r="W195" s="50"/>
      <c r="X195" s="50"/>
      <c r="Y195" s="50"/>
      <c r="Z195" s="2"/>
      <c r="AA195" s="2"/>
      <c r="AB195" s="2"/>
    </row>
    <row r="196" spans="1:28">
      <c r="A196" s="103"/>
      <c r="B196" s="46"/>
      <c r="C196" s="46"/>
      <c r="E196" s="218" t="s">
        <v>744</v>
      </c>
      <c r="V196" s="50"/>
      <c r="W196" s="50"/>
      <c r="X196" s="50"/>
      <c r="Y196" s="50"/>
      <c r="Z196" s="2"/>
      <c r="AA196" s="2"/>
      <c r="AB196" s="2"/>
    </row>
    <row r="197" spans="1:28">
      <c r="A197" s="103" t="s">
        <v>12</v>
      </c>
      <c r="B197" s="46">
        <f>(73.1*0.007)*0.57</f>
        <v>0.29166899999999996</v>
      </c>
      <c r="C197" s="46" t="s">
        <v>437</v>
      </c>
      <c r="E197" s="218" t="s">
        <v>958</v>
      </c>
      <c r="V197" s="50"/>
      <c r="W197" s="50"/>
      <c r="X197" s="50"/>
      <c r="Y197" s="50"/>
      <c r="Z197" s="2"/>
      <c r="AA197" s="2"/>
      <c r="AB197" s="2"/>
    </row>
    <row r="198" spans="1:28">
      <c r="A198" s="115" t="s">
        <v>24</v>
      </c>
      <c r="B198" s="104">
        <f>SUM(B194:B197)</f>
        <v>57.566668999999997</v>
      </c>
      <c r="C198" s="104" t="s">
        <v>437</v>
      </c>
      <c r="V198" s="50"/>
      <c r="W198" s="50"/>
      <c r="X198" s="50"/>
      <c r="Y198" s="50"/>
      <c r="Z198" s="2"/>
      <c r="AA198" s="2"/>
      <c r="AB198" s="2"/>
    </row>
    <row r="199" spans="1:28">
      <c r="A199" s="3"/>
      <c r="B199" s="104"/>
      <c r="C199" s="104"/>
      <c r="V199" s="50"/>
      <c r="W199" s="50"/>
      <c r="X199" s="50"/>
      <c r="Y199" s="50"/>
      <c r="Z199" s="2"/>
      <c r="AA199" s="2"/>
      <c r="AB199" s="2"/>
    </row>
    <row r="200" spans="1:28">
      <c r="A200" s="2" t="s">
        <v>13</v>
      </c>
      <c r="B200" s="46"/>
      <c r="C200" s="46"/>
      <c r="V200" s="50"/>
      <c r="W200" s="50"/>
      <c r="X200" s="50"/>
      <c r="Y200" s="50"/>
      <c r="Z200" s="2"/>
      <c r="AA200" s="2"/>
      <c r="AB200" s="2"/>
    </row>
    <row r="201" spans="1:28">
      <c r="A201" t="s">
        <v>7</v>
      </c>
      <c r="B201" s="46">
        <v>92.1</v>
      </c>
      <c r="C201" s="46"/>
      <c r="E201" t="s">
        <v>756</v>
      </c>
      <c r="V201" s="50"/>
      <c r="W201" s="50"/>
      <c r="X201" s="50"/>
      <c r="Y201" s="50"/>
      <c r="Z201" s="2"/>
      <c r="AA201" s="2"/>
      <c r="AB201" s="2"/>
    </row>
    <row r="202" spans="1:28">
      <c r="A202" t="s">
        <v>8</v>
      </c>
      <c r="B202" s="46"/>
      <c r="C202" s="46"/>
      <c r="E202" t="s">
        <v>167</v>
      </c>
      <c r="V202" s="50"/>
      <c r="W202" s="50"/>
      <c r="X202" s="50"/>
      <c r="Y202" s="50"/>
      <c r="Z202" s="2"/>
      <c r="AA202" s="2"/>
      <c r="AB202" s="2"/>
    </row>
    <row r="203" spans="1:28">
      <c r="A203" s="3" t="s">
        <v>57</v>
      </c>
      <c r="B203" s="104">
        <f>SUM(B201:B202)</f>
        <v>92.1</v>
      </c>
      <c r="C203" s="104"/>
      <c r="V203" s="50"/>
      <c r="W203" s="50"/>
      <c r="X203" s="50"/>
      <c r="Y203" s="50"/>
      <c r="Z203" s="2"/>
      <c r="AA203" s="2"/>
      <c r="AB203" s="2"/>
    </row>
    <row r="204" spans="1:28">
      <c r="A204" s="3"/>
      <c r="B204" s="104"/>
      <c r="C204" s="104"/>
      <c r="V204" s="50"/>
      <c r="W204" s="50"/>
      <c r="X204" s="50"/>
      <c r="Y204" s="50"/>
      <c r="Z204" s="2"/>
      <c r="AA204" s="2"/>
      <c r="AB204" s="2"/>
    </row>
    <row r="205" spans="1:28">
      <c r="A205" t="s">
        <v>64</v>
      </c>
      <c r="B205" s="46"/>
      <c r="C205" s="46"/>
      <c r="V205" s="50"/>
      <c r="W205" s="50"/>
      <c r="X205" s="50"/>
      <c r="Y205" s="50"/>
      <c r="Z205" s="2"/>
      <c r="AA205" s="2"/>
      <c r="AB205" s="2"/>
    </row>
    <row r="206" spans="1:28">
      <c r="A206" t="s">
        <v>9</v>
      </c>
      <c r="B206" s="46">
        <v>10</v>
      </c>
      <c r="C206" s="46"/>
      <c r="E206" s="52" t="s">
        <v>961</v>
      </c>
      <c r="V206" s="50"/>
      <c r="W206" s="50"/>
      <c r="X206" s="50"/>
      <c r="Y206" s="50"/>
      <c r="Z206" s="2"/>
      <c r="AA206" s="2"/>
      <c r="AB206" s="2"/>
    </row>
    <row r="207" spans="1:28">
      <c r="A207" t="s">
        <v>10</v>
      </c>
      <c r="B207" s="46">
        <v>66</v>
      </c>
      <c r="C207" s="46"/>
      <c r="E207" s="52" t="s">
        <v>961</v>
      </c>
      <c r="V207" s="50"/>
      <c r="W207" s="50"/>
      <c r="X207" s="50"/>
      <c r="Y207" s="50"/>
      <c r="Z207" s="2"/>
      <c r="AA207" s="2"/>
      <c r="AB207" s="2"/>
    </row>
    <row r="208" spans="1:28">
      <c r="A208" s="3" t="s">
        <v>24</v>
      </c>
      <c r="B208" s="104">
        <f>SUM(B206:B207)</f>
        <v>76</v>
      </c>
      <c r="C208" s="104"/>
      <c r="E208" t="s">
        <v>429</v>
      </c>
      <c r="V208" s="50"/>
      <c r="W208" s="50"/>
      <c r="X208" s="50"/>
      <c r="Y208" s="50"/>
      <c r="Z208" s="2"/>
      <c r="AA208" s="2"/>
      <c r="AB208" s="2"/>
    </row>
    <row r="209" spans="1:28">
      <c r="B209" s="46"/>
      <c r="C209" s="46"/>
      <c r="V209" s="50"/>
      <c r="W209" s="50"/>
      <c r="X209" s="50"/>
      <c r="Y209" s="50"/>
      <c r="Z209" s="2"/>
      <c r="AA209" s="2"/>
      <c r="AB209" s="2"/>
    </row>
    <row r="210" spans="1:28" ht="15.75">
      <c r="A210" s="4" t="s">
        <v>23</v>
      </c>
      <c r="B210" s="28">
        <f>SUM(B181+B187+B191+B198+B203+B208)</f>
        <v>459.73386900000003</v>
      </c>
      <c r="C210" s="49"/>
      <c r="V210" s="50"/>
      <c r="W210" s="50"/>
      <c r="X210" s="50"/>
      <c r="Y210" s="50"/>
      <c r="Z210" s="2"/>
      <c r="AA210" s="2"/>
      <c r="AB210" s="2"/>
    </row>
    <row r="211" spans="1:28" ht="15.75">
      <c r="A211" s="4"/>
      <c r="B211" s="28"/>
      <c r="C211" s="49"/>
      <c r="V211" s="50"/>
      <c r="W211" s="50"/>
      <c r="X211" s="50"/>
      <c r="Y211" s="50"/>
      <c r="Z211" s="2"/>
      <c r="AA211" s="2"/>
      <c r="AB211" s="2"/>
    </row>
    <row r="212" spans="1:28" ht="15.75">
      <c r="A212" s="4"/>
      <c r="B212" s="28"/>
      <c r="C212" s="49"/>
      <c r="V212" s="50"/>
      <c r="W212" s="50"/>
      <c r="X212" s="50"/>
      <c r="Y212" s="50"/>
      <c r="Z212" s="2"/>
      <c r="AA212" s="2"/>
      <c r="AB212" s="2"/>
    </row>
    <row r="213" spans="1:28">
      <c r="B213" s="41" t="s">
        <v>419</v>
      </c>
      <c r="C213" s="41"/>
      <c r="V213" s="50"/>
      <c r="W213" s="50"/>
      <c r="X213" s="50"/>
      <c r="Y213" s="50"/>
      <c r="Z213" s="2"/>
      <c r="AA213" s="2"/>
      <c r="AB213" s="2"/>
    </row>
    <row r="214" spans="1:28">
      <c r="B214" s="41" t="s">
        <v>824</v>
      </c>
      <c r="C214" s="41"/>
      <c r="V214" s="50"/>
      <c r="W214" s="50"/>
      <c r="X214" s="50"/>
      <c r="Y214" s="50"/>
      <c r="Z214" s="2"/>
      <c r="AA214" s="2"/>
      <c r="AB214" s="2"/>
    </row>
    <row r="215" spans="1:28">
      <c r="B215" s="41" t="s">
        <v>16</v>
      </c>
      <c r="C215" s="41"/>
      <c r="V215" s="50"/>
      <c r="W215" s="50"/>
      <c r="X215" s="50"/>
      <c r="Y215" s="50"/>
      <c r="Z215" s="2"/>
      <c r="AA215" s="2"/>
      <c r="AB215" s="2"/>
    </row>
    <row r="216" spans="1:28">
      <c r="A216" s="2" t="s">
        <v>11</v>
      </c>
      <c r="B216" s="106"/>
      <c r="C216" s="106"/>
      <c r="V216" s="50"/>
      <c r="W216" s="50"/>
      <c r="X216" s="50"/>
      <c r="Y216" s="50"/>
      <c r="Z216" s="2"/>
      <c r="AA216" s="2"/>
      <c r="AB216" s="2"/>
    </row>
    <row r="217" spans="1:28">
      <c r="B217" s="106"/>
      <c r="C217" s="106"/>
      <c r="V217" s="50"/>
      <c r="W217" s="50"/>
      <c r="X217" s="50"/>
      <c r="Y217" s="50"/>
      <c r="Z217" s="2"/>
      <c r="AA217" s="2"/>
      <c r="AB217" s="2"/>
    </row>
    <row r="218" spans="1:28">
      <c r="A218" t="s">
        <v>0</v>
      </c>
      <c r="B218" s="46">
        <f>'CAN Disability detailes 13-14'!B6*0.015</f>
        <v>10.799999999999999</v>
      </c>
      <c r="C218" s="46"/>
      <c r="D218" s="302" t="s">
        <v>217</v>
      </c>
      <c r="E218" s="52" t="s">
        <v>811</v>
      </c>
      <c r="V218" s="50"/>
      <c r="W218" s="50"/>
      <c r="X218" s="50"/>
      <c r="Y218" s="50"/>
      <c r="Z218" s="2"/>
      <c r="AA218" s="2"/>
      <c r="AB218" s="2"/>
    </row>
    <row r="219" spans="1:28">
      <c r="A219" t="s">
        <v>1</v>
      </c>
      <c r="B219" s="46">
        <f>'CAN Disability detailes 13-14'!B7*0.015</f>
        <v>19.425000000000001</v>
      </c>
      <c r="C219" s="46"/>
      <c r="D219" s="302" t="s">
        <v>217</v>
      </c>
      <c r="E219" s="52" t="s">
        <v>757</v>
      </c>
      <c r="I219" t="s">
        <v>93</v>
      </c>
      <c r="V219" s="50"/>
      <c r="W219" s="50"/>
      <c r="X219" s="50"/>
      <c r="Y219" s="50"/>
      <c r="Z219" s="2"/>
      <c r="AA219" s="2"/>
      <c r="AB219" s="2"/>
    </row>
    <row r="220" spans="1:28">
      <c r="A220" t="s">
        <v>14</v>
      </c>
      <c r="B220" s="46">
        <f>'CAN Disability detailes 13-14'!B8*0.015</f>
        <v>1.65</v>
      </c>
      <c r="C220" s="46"/>
      <c r="D220" s="302" t="s">
        <v>217</v>
      </c>
      <c r="E220" s="52" t="s">
        <v>758</v>
      </c>
      <c r="V220" s="50"/>
      <c r="W220" s="50"/>
      <c r="X220" s="50"/>
      <c r="Y220" s="50"/>
      <c r="Z220" s="2"/>
      <c r="AA220" s="2"/>
      <c r="AB220" s="2"/>
    </row>
    <row r="221" spans="1:28">
      <c r="A221" t="s">
        <v>2</v>
      </c>
      <c r="B221" s="46">
        <f>'CAN Disability detailes 13-14'!B9*0.015</f>
        <v>0.09</v>
      </c>
      <c r="C221" s="46"/>
      <c r="D221" s="302" t="s">
        <v>217</v>
      </c>
      <c r="V221" s="50"/>
      <c r="W221" s="50"/>
      <c r="X221" s="50"/>
      <c r="Y221" s="50"/>
      <c r="Z221" s="2"/>
      <c r="AA221" s="2"/>
      <c r="AB221" s="2"/>
    </row>
    <row r="222" spans="1:28">
      <c r="A222" t="s">
        <v>68</v>
      </c>
      <c r="B222" s="46">
        <f>'CAN Disability detailes 13-14'!B10*0.015</f>
        <v>0</v>
      </c>
      <c r="C222" s="46"/>
      <c r="D222" s="302" t="s">
        <v>217</v>
      </c>
      <c r="V222" s="50"/>
      <c r="W222" s="50"/>
      <c r="X222" s="50"/>
      <c r="Y222" s="50"/>
      <c r="Z222" s="2"/>
      <c r="AA222" s="2"/>
      <c r="AB222" s="2"/>
    </row>
    <row r="223" spans="1:28">
      <c r="A223" t="s">
        <v>3</v>
      </c>
      <c r="B223" s="46">
        <f>'CAN Disability detailes 13-14'!B11*0.015</f>
        <v>2.1749999999999998</v>
      </c>
      <c r="C223" s="46"/>
      <c r="D223" s="302" t="s">
        <v>217</v>
      </c>
      <c r="V223" s="50"/>
      <c r="W223" s="50"/>
      <c r="X223" s="50"/>
      <c r="Y223" s="50"/>
      <c r="Z223" s="2"/>
      <c r="AA223" s="2"/>
      <c r="AB223" s="2"/>
    </row>
    <row r="224" spans="1:28">
      <c r="A224" t="s">
        <v>15</v>
      </c>
      <c r="B224" s="46">
        <f>'CAN Disability detailes 13-14'!B12*0.015</f>
        <v>3.6843749999999997</v>
      </c>
      <c r="C224" s="46"/>
      <c r="D224" s="302" t="s">
        <v>217</v>
      </c>
      <c r="E224" s="248" t="s">
        <v>812</v>
      </c>
      <c r="F224" s="249"/>
      <c r="G224" s="249"/>
      <c r="H224" s="249"/>
      <c r="I224" s="30"/>
      <c r="J224" s="30"/>
      <c r="K224" s="30"/>
      <c r="L224" s="30"/>
      <c r="M224" s="30"/>
      <c r="N224" s="30"/>
      <c r="O224" s="30"/>
      <c r="P224" s="30"/>
      <c r="V224" s="50"/>
      <c r="W224" s="50"/>
      <c r="X224" s="50"/>
      <c r="Y224" s="50"/>
      <c r="Z224" s="2"/>
      <c r="AA224" s="2"/>
      <c r="AB224" s="2"/>
    </row>
    <row r="225" spans="1:28">
      <c r="A225" s="3" t="s">
        <v>24</v>
      </c>
      <c r="B225" s="104">
        <f>SUM(B218:B224)</f>
        <v>37.824375000000003</v>
      </c>
      <c r="C225" s="104"/>
      <c r="E225" s="6"/>
      <c r="V225" s="50"/>
      <c r="W225" s="50"/>
      <c r="X225" s="50"/>
      <c r="Y225" s="50"/>
      <c r="Z225" s="2"/>
      <c r="AA225" s="2"/>
      <c r="AB225" s="2"/>
    </row>
    <row r="226" spans="1:28">
      <c r="B226" s="46"/>
      <c r="C226" s="46"/>
      <c r="V226" s="50"/>
      <c r="W226" s="50"/>
      <c r="X226" s="50"/>
      <c r="Y226" s="50"/>
      <c r="Z226" s="2"/>
      <c r="AA226" s="2"/>
      <c r="AB226" s="2"/>
    </row>
    <row r="227" spans="1:28">
      <c r="A227" s="2" t="s">
        <v>4</v>
      </c>
      <c r="B227" s="46"/>
      <c r="C227" s="46"/>
      <c r="V227" s="50"/>
      <c r="W227" s="50"/>
      <c r="X227" s="50"/>
      <c r="Y227" s="50"/>
      <c r="Z227" s="2"/>
      <c r="AA227" s="2"/>
      <c r="AB227" s="2"/>
    </row>
    <row r="228" spans="1:28">
      <c r="A228" t="s">
        <v>5</v>
      </c>
      <c r="B228" s="46">
        <v>124.3</v>
      </c>
      <c r="C228" s="46"/>
      <c r="E228" s="52" t="s">
        <v>747</v>
      </c>
      <c r="F228" s="30"/>
      <c r="G228" s="30"/>
      <c r="H228" s="30"/>
      <c r="I228" s="30"/>
      <c r="J228" s="30"/>
      <c r="K228" s="30"/>
      <c r="L228" s="30"/>
      <c r="M228" s="30"/>
      <c r="N228" s="30"/>
      <c r="O228" s="30"/>
      <c r="P228" s="30"/>
      <c r="V228" s="50"/>
      <c r="W228" s="50"/>
      <c r="X228" s="50"/>
      <c r="Y228" s="50"/>
      <c r="Z228" s="2"/>
      <c r="AA228" s="2"/>
      <c r="AB228" s="2"/>
    </row>
    <row r="229" spans="1:28">
      <c r="A229" t="s">
        <v>69</v>
      </c>
      <c r="C229" s="105"/>
      <c r="E229" s="300"/>
      <c r="F229" s="300"/>
      <c r="G229" s="300"/>
      <c r="H229" s="300"/>
      <c r="I229" s="300"/>
      <c r="J229" s="300"/>
      <c r="K229" s="300"/>
      <c r="L229" s="300"/>
      <c r="M229" s="300"/>
      <c r="N229" s="300"/>
      <c r="O229" s="300"/>
      <c r="P229" s="300"/>
      <c r="V229" s="50"/>
      <c r="W229" s="50"/>
      <c r="X229" s="50"/>
      <c r="Y229" s="50"/>
      <c r="Z229" s="2"/>
      <c r="AA229" s="2"/>
      <c r="AB229" s="2"/>
    </row>
    <row r="230" spans="1:28">
      <c r="A230" t="s">
        <v>6</v>
      </c>
      <c r="B230" s="105">
        <v>37.799999999999997</v>
      </c>
      <c r="C230" s="114"/>
      <c r="D230" s="103"/>
      <c r="E230" s="120" t="s">
        <v>694</v>
      </c>
      <c r="F230" s="103"/>
      <c r="G230" s="103"/>
      <c r="H230" s="103"/>
      <c r="I230" s="103"/>
      <c r="J230" s="103"/>
      <c r="K230" s="103"/>
      <c r="L230" s="103"/>
      <c r="M230" s="103"/>
      <c r="N230" s="103"/>
      <c r="O230" s="103"/>
      <c r="P230" s="103"/>
      <c r="V230" s="50"/>
      <c r="W230" s="50"/>
      <c r="X230" s="50"/>
      <c r="Y230" s="50"/>
      <c r="Z230" s="2"/>
      <c r="AA230" s="2"/>
      <c r="AB230" s="2"/>
    </row>
    <row r="231" spans="1:28">
      <c r="A231" s="3" t="s">
        <v>24</v>
      </c>
      <c r="B231" s="112">
        <f>SUM(B228:B230)</f>
        <v>162.1</v>
      </c>
      <c r="C231" s="112"/>
      <c r="D231" s="103"/>
      <c r="E231" s="103"/>
      <c r="F231" s="103"/>
      <c r="G231" s="103"/>
      <c r="H231" s="103"/>
      <c r="I231" s="103"/>
      <c r="J231" s="103"/>
      <c r="K231" s="103"/>
      <c r="L231" s="103"/>
      <c r="M231" s="103"/>
      <c r="N231" s="103"/>
      <c r="O231" s="103"/>
      <c r="P231" s="103"/>
      <c r="V231" s="50"/>
      <c r="W231" s="50"/>
      <c r="X231" s="50"/>
      <c r="Y231" s="50"/>
      <c r="Z231" s="2"/>
      <c r="AA231" s="2"/>
      <c r="AB231" s="2"/>
    </row>
    <row r="232" spans="1:28">
      <c r="B232" s="46"/>
      <c r="C232" s="46"/>
      <c r="V232" s="50"/>
      <c r="W232" s="50"/>
      <c r="X232" s="50"/>
      <c r="Y232" s="50"/>
      <c r="Z232" s="2"/>
      <c r="AA232" s="2"/>
      <c r="AB232" s="2"/>
    </row>
    <row r="233" spans="1:28">
      <c r="A233" s="52" t="s">
        <v>955</v>
      </c>
      <c r="B233" s="46">
        <v>29.5</v>
      </c>
      <c r="C233" s="46"/>
      <c r="V233" s="50"/>
      <c r="W233" s="50"/>
      <c r="X233" s="50"/>
      <c r="Y233" s="50"/>
      <c r="Z233" s="2"/>
      <c r="AA233" s="2"/>
      <c r="AB233" s="2"/>
    </row>
    <row r="234" spans="1:28">
      <c r="A234" s="52" t="s">
        <v>956</v>
      </c>
      <c r="B234" s="46">
        <v>8.5</v>
      </c>
      <c r="C234" s="46"/>
      <c r="V234" s="50"/>
      <c r="W234" s="50"/>
      <c r="X234" s="50"/>
      <c r="Y234" s="50"/>
      <c r="Z234" s="2"/>
      <c r="AA234" s="2"/>
      <c r="AB234" s="2"/>
    </row>
    <row r="235" spans="1:28">
      <c r="A235" s="3" t="s">
        <v>478</v>
      </c>
      <c r="B235" s="104">
        <f>SUM(B233:B234)</f>
        <v>38</v>
      </c>
      <c r="C235" s="104"/>
      <c r="E235" t="s">
        <v>98</v>
      </c>
      <c r="V235" s="50"/>
      <c r="W235" s="50"/>
      <c r="X235" s="50"/>
      <c r="Y235" s="50"/>
      <c r="Z235" s="2"/>
      <c r="AA235" s="2"/>
      <c r="AB235" s="2"/>
    </row>
    <row r="236" spans="1:28">
      <c r="A236" s="3"/>
      <c r="B236" s="104"/>
      <c r="C236" s="104"/>
      <c r="V236" s="50"/>
      <c r="W236" s="50"/>
      <c r="X236" s="50"/>
      <c r="Y236" s="50"/>
      <c r="Z236" s="2"/>
      <c r="AA236" s="2"/>
      <c r="AB236" s="2"/>
    </row>
    <row r="237" spans="1:28">
      <c r="A237" s="2" t="s">
        <v>334</v>
      </c>
      <c r="B237" s="46"/>
      <c r="C237" s="46"/>
      <c r="V237" s="50"/>
      <c r="W237" s="50"/>
      <c r="X237" s="50"/>
      <c r="Y237" s="50"/>
      <c r="Z237" s="2"/>
      <c r="AA237" s="2"/>
      <c r="AB237" s="2"/>
    </row>
    <row r="238" spans="1:28">
      <c r="A238" s="103" t="s">
        <v>335</v>
      </c>
      <c r="B238" s="46">
        <f>'SA $ by prov 13-14'!B4*0.25</f>
        <v>56.4</v>
      </c>
      <c r="C238" s="46" t="s">
        <v>437</v>
      </c>
      <c r="E238" s="150" t="s">
        <v>1021</v>
      </c>
      <c r="V238" s="50"/>
      <c r="W238" s="50"/>
      <c r="X238" s="50"/>
      <c r="Y238" s="50"/>
      <c r="Z238" s="2"/>
      <c r="AA238" s="2"/>
      <c r="AB238" s="2"/>
    </row>
    <row r="239" spans="1:28">
      <c r="A239" s="103"/>
      <c r="B239" s="46"/>
      <c r="C239" s="46"/>
      <c r="E239" s="75" t="s">
        <v>479</v>
      </c>
      <c r="V239" s="50"/>
      <c r="W239" s="50"/>
      <c r="X239" s="50"/>
      <c r="Y239" s="50"/>
      <c r="Z239" s="2"/>
      <c r="AA239" s="2"/>
      <c r="AB239" s="2"/>
    </row>
    <row r="240" spans="1:28">
      <c r="A240" s="103"/>
      <c r="B240" s="46"/>
      <c r="C240" s="46"/>
      <c r="E240" s="218" t="s">
        <v>744</v>
      </c>
      <c r="V240" s="50"/>
      <c r="W240" s="50"/>
      <c r="X240" s="50"/>
      <c r="Y240" s="50"/>
      <c r="Z240" s="2"/>
      <c r="AA240" s="2"/>
      <c r="AB240" s="2"/>
    </row>
    <row r="241" spans="1:28">
      <c r="A241" s="103" t="s">
        <v>12</v>
      </c>
      <c r="B241" s="46">
        <f>(74.9*0.007)*0.59</f>
        <v>0.30933700000000003</v>
      </c>
      <c r="C241" s="46" t="s">
        <v>437</v>
      </c>
      <c r="E241" s="218" t="s">
        <v>966</v>
      </c>
      <c r="V241" s="50"/>
      <c r="W241" s="50"/>
      <c r="X241" s="50"/>
      <c r="Y241" s="50"/>
      <c r="Z241" s="2"/>
      <c r="AA241" s="2"/>
      <c r="AB241" s="2"/>
    </row>
    <row r="242" spans="1:28">
      <c r="A242" s="115" t="s">
        <v>24</v>
      </c>
      <c r="B242" s="104">
        <f>SUM(B238:B241)</f>
        <v>56.709336999999998</v>
      </c>
      <c r="C242" s="104" t="s">
        <v>437</v>
      </c>
      <c r="V242" s="50"/>
      <c r="W242" s="50"/>
      <c r="X242" s="50"/>
      <c r="Y242" s="50"/>
      <c r="Z242" s="2"/>
      <c r="AA242" s="2"/>
      <c r="AB242" s="2"/>
    </row>
    <row r="243" spans="1:28">
      <c r="A243" s="3"/>
      <c r="B243" s="104"/>
      <c r="C243" s="104"/>
      <c r="V243" s="50"/>
      <c r="W243" s="50"/>
      <c r="X243" s="50"/>
      <c r="Y243" s="50"/>
      <c r="Z243" s="2"/>
      <c r="AA243" s="2"/>
      <c r="AB243" s="2"/>
    </row>
    <row r="244" spans="1:28">
      <c r="A244" s="2" t="s">
        <v>13</v>
      </c>
      <c r="B244" s="46"/>
      <c r="C244" s="46"/>
      <c r="V244" s="50"/>
      <c r="W244" s="50"/>
      <c r="X244" s="50"/>
      <c r="Y244" s="50"/>
      <c r="Z244" s="2"/>
      <c r="AA244" s="2"/>
      <c r="AB244" s="2"/>
    </row>
    <row r="245" spans="1:28">
      <c r="A245" t="s">
        <v>7</v>
      </c>
      <c r="B245" s="46">
        <v>90.4</v>
      </c>
      <c r="C245" s="46"/>
      <c r="E245" t="s">
        <v>756</v>
      </c>
      <c r="V245" s="50"/>
      <c r="W245" s="50"/>
      <c r="X245" s="50"/>
      <c r="Y245" s="50"/>
      <c r="Z245" s="2"/>
      <c r="AA245" s="2"/>
      <c r="AB245" s="2"/>
    </row>
    <row r="246" spans="1:28">
      <c r="A246" t="s">
        <v>8</v>
      </c>
      <c r="B246" s="46"/>
      <c r="C246" s="46"/>
      <c r="E246" s="52" t="s">
        <v>957</v>
      </c>
      <c r="V246" s="50"/>
      <c r="W246" s="50"/>
      <c r="X246" s="50"/>
      <c r="Y246" s="50"/>
      <c r="Z246" s="2"/>
      <c r="AA246" s="2"/>
      <c r="AB246" s="2"/>
    </row>
    <row r="247" spans="1:28">
      <c r="A247" s="3" t="s">
        <v>57</v>
      </c>
      <c r="B247" s="104">
        <f>SUM(B245:B246)</f>
        <v>90.4</v>
      </c>
      <c r="C247" s="104"/>
      <c r="V247" s="50"/>
      <c r="W247" s="50"/>
      <c r="X247" s="50"/>
      <c r="Y247" s="50"/>
      <c r="Z247" s="2"/>
      <c r="AA247" s="2"/>
      <c r="AB247" s="2"/>
    </row>
    <row r="248" spans="1:28">
      <c r="A248" s="3"/>
      <c r="B248" s="104"/>
      <c r="C248" s="104"/>
      <c r="V248" s="50"/>
      <c r="W248" s="50"/>
      <c r="X248" s="50"/>
      <c r="Y248" s="50"/>
      <c r="Z248" s="2"/>
      <c r="AA248" s="2"/>
      <c r="AB248" s="2"/>
    </row>
    <row r="249" spans="1:28">
      <c r="A249" t="s">
        <v>64</v>
      </c>
      <c r="B249" s="46"/>
      <c r="C249" s="46"/>
      <c r="V249" s="50"/>
      <c r="W249" s="50"/>
      <c r="X249" s="50"/>
      <c r="Y249" s="50"/>
      <c r="Z249" s="2"/>
      <c r="AA249" s="2"/>
      <c r="AB249" s="2"/>
    </row>
    <row r="250" spans="1:28">
      <c r="A250" t="s">
        <v>9</v>
      </c>
      <c r="B250" s="46">
        <v>10</v>
      </c>
      <c r="C250" s="46"/>
      <c r="E250" s="52" t="s">
        <v>927</v>
      </c>
      <c r="V250" s="50"/>
      <c r="W250" s="50"/>
      <c r="X250" s="50"/>
      <c r="Y250" s="50"/>
      <c r="Z250" s="2"/>
      <c r="AA250" s="2"/>
      <c r="AB250" s="2"/>
    </row>
    <row r="251" spans="1:28">
      <c r="A251" t="s">
        <v>10</v>
      </c>
      <c r="B251" s="46">
        <v>89</v>
      </c>
      <c r="C251" s="46"/>
      <c r="E251" s="52" t="s">
        <v>927</v>
      </c>
      <c r="V251" s="50"/>
      <c r="W251" s="50"/>
      <c r="X251" s="50"/>
      <c r="Y251" s="50"/>
      <c r="Z251" s="2"/>
      <c r="AA251" s="2"/>
      <c r="AB251" s="2"/>
    </row>
    <row r="252" spans="1:28">
      <c r="A252" s="3" t="s">
        <v>24</v>
      </c>
      <c r="B252" s="104">
        <f>SUM(B250:B251)</f>
        <v>99</v>
      </c>
      <c r="C252" s="104"/>
      <c r="E252" t="s">
        <v>429</v>
      </c>
      <c r="V252" s="50"/>
      <c r="W252" s="50"/>
      <c r="X252" s="50"/>
      <c r="Y252" s="50"/>
      <c r="Z252" s="2"/>
      <c r="AA252" s="2"/>
      <c r="AB252" s="2"/>
    </row>
    <row r="253" spans="1:28">
      <c r="B253" s="46"/>
      <c r="C253" s="46"/>
      <c r="V253" s="50"/>
      <c r="W253" s="50"/>
      <c r="X253" s="50"/>
      <c r="Y253" s="50"/>
      <c r="Z253" s="2"/>
      <c r="AA253" s="2"/>
      <c r="AB253" s="2"/>
    </row>
    <row r="254" spans="1:28" ht="15.75">
      <c r="A254" s="4" t="s">
        <v>23</v>
      </c>
      <c r="B254" s="28">
        <f>SUM(B225+B231+B235+B242+B247+B252)</f>
        <v>484.03371200000004</v>
      </c>
      <c r="C254" s="49"/>
      <c r="V254" s="39"/>
      <c r="W254" s="50"/>
      <c r="X254" s="50"/>
      <c r="Y254" s="50"/>
      <c r="Z254" s="2"/>
      <c r="AA254" s="2"/>
      <c r="AB254" s="2"/>
    </row>
    <row r="255" spans="1:28" ht="15.75">
      <c r="A255" s="4"/>
      <c r="B255" s="28"/>
      <c r="C255" s="49"/>
      <c r="V255" s="50"/>
      <c r="W255" s="50"/>
      <c r="X255" s="50"/>
      <c r="Y255" s="50"/>
      <c r="Z255" s="2"/>
      <c r="AA255" s="2"/>
      <c r="AB255" s="2"/>
    </row>
    <row r="256" spans="1:28" ht="15.75">
      <c r="A256" s="4"/>
      <c r="B256" s="28"/>
      <c r="C256" s="49"/>
      <c r="V256" s="224" t="s">
        <v>687</v>
      </c>
      <c r="W256" s="224"/>
      <c r="X256" s="224"/>
      <c r="Y256" s="224"/>
      <c r="Z256" s="2"/>
      <c r="AA256" s="2"/>
      <c r="AB256" s="2"/>
    </row>
    <row r="257" spans="1:29">
      <c r="V257" s="224">
        <v>2005</v>
      </c>
      <c r="W257" s="224">
        <v>2010</v>
      </c>
      <c r="X257" s="224">
        <v>2011</v>
      </c>
      <c r="Y257" s="224">
        <v>2013</v>
      </c>
      <c r="Z257" s="2"/>
      <c r="AA257" s="2"/>
      <c r="AB257" s="2"/>
    </row>
    <row r="258" spans="1:29" ht="43.5" customHeight="1">
      <c r="A258" s="4" t="s">
        <v>436</v>
      </c>
      <c r="O258" s="2" t="s">
        <v>389</v>
      </c>
      <c r="V258" s="232">
        <v>514315</v>
      </c>
      <c r="W258" s="232">
        <v>521972</v>
      </c>
      <c r="X258" s="232">
        <v>525037</v>
      </c>
      <c r="Y258" s="232">
        <v>528017</v>
      </c>
      <c r="Z258" s="322" t="s">
        <v>1030</v>
      </c>
      <c r="AA258" s="322"/>
      <c r="AB258" s="322"/>
      <c r="AC258" s="230"/>
    </row>
    <row r="259" spans="1:29" ht="51">
      <c r="B259" s="41" t="s">
        <v>58</v>
      </c>
      <c r="C259" s="41"/>
      <c r="D259" s="41" t="s">
        <v>181</v>
      </c>
      <c r="E259" s="256" t="s">
        <v>743</v>
      </c>
      <c r="F259" s="41" t="s">
        <v>514</v>
      </c>
      <c r="G259" s="256" t="s">
        <v>743</v>
      </c>
      <c r="H259" s="2" t="s">
        <v>689</v>
      </c>
      <c r="I259" s="256" t="s">
        <v>743</v>
      </c>
      <c r="J259" s="301" t="s">
        <v>823</v>
      </c>
      <c r="K259" s="301" t="s">
        <v>743</v>
      </c>
      <c r="L259" s="301" t="s">
        <v>824</v>
      </c>
      <c r="M259" s="301" t="s">
        <v>743</v>
      </c>
      <c r="N259" s="301"/>
      <c r="O259" s="41" t="s">
        <v>58</v>
      </c>
      <c r="P259" s="41" t="s">
        <v>181</v>
      </c>
      <c r="Q259" s="41" t="s">
        <v>514</v>
      </c>
      <c r="R259" s="2" t="s">
        <v>689</v>
      </c>
      <c r="S259" s="2" t="s">
        <v>823</v>
      </c>
      <c r="T259" s="41" t="s">
        <v>824</v>
      </c>
      <c r="V259" s="223"/>
      <c r="W259" s="223"/>
      <c r="X259" s="223"/>
      <c r="Y259" s="223"/>
      <c r="Z259" s="256" t="s">
        <v>743</v>
      </c>
    </row>
    <row r="260" spans="1:29">
      <c r="A260" s="2" t="s">
        <v>11</v>
      </c>
      <c r="B260" s="9">
        <f>B13</f>
        <v>27.36</v>
      </c>
      <c r="C260" s="9"/>
      <c r="D260" s="9">
        <f>B56</f>
        <v>30.727499999999992</v>
      </c>
      <c r="E260" s="29">
        <f t="shared" ref="E260:E274" si="0">(D260-B260)/B260</f>
        <v>0.12308114035087693</v>
      </c>
      <c r="F260" s="9">
        <f>B97</f>
        <v>32.855999999999995</v>
      </c>
      <c r="G260" s="29">
        <f>(F260-B260)/B260</f>
        <v>0.20087719298245596</v>
      </c>
      <c r="H260" s="9">
        <f>B139</f>
        <v>34.626899999999992</v>
      </c>
      <c r="I260" s="29">
        <f>(H260-B260)/B260</f>
        <v>0.26560307017543833</v>
      </c>
      <c r="J260" s="9">
        <f>B181</f>
        <v>36.0672</v>
      </c>
      <c r="K260" s="29">
        <f>(J260-B260)/B260</f>
        <v>0.31824561403508772</v>
      </c>
      <c r="L260" s="9">
        <f>B225</f>
        <v>37.824375000000003</v>
      </c>
      <c r="M260" s="29">
        <f>(L260-B260)/B260</f>
        <v>0.38246984649122823</v>
      </c>
      <c r="N260" s="29"/>
      <c r="O260" s="29">
        <f>B260/$B$269</f>
        <v>7.413762175397258E-2</v>
      </c>
      <c r="P260" s="29">
        <f>D260/$D$269</f>
        <v>7.3961194533165894E-2</v>
      </c>
      <c r="Q260" s="29">
        <f>F260/$F$269</f>
        <v>7.6309831572802606E-2</v>
      </c>
      <c r="R260" s="29">
        <f>H260/$H$269</f>
        <v>7.7490393396860383E-2</v>
      </c>
      <c r="S260" s="29">
        <f>J260/$J$269</f>
        <v>7.8452344784717187E-2</v>
      </c>
      <c r="T260" s="29">
        <f>L260/$L$269</f>
        <v>7.8144092161911233E-2</v>
      </c>
      <c r="V260" s="225">
        <f>B260*1000000/$V$258</f>
        <v>53.19697072805576</v>
      </c>
      <c r="W260" s="225">
        <f>F260*1000000/$W$258</f>
        <v>62.945905144337239</v>
      </c>
      <c r="X260" s="225">
        <f>H260*1000000/$X$258</f>
        <v>65.951351999954269</v>
      </c>
      <c r="Y260" s="225">
        <f>L260*1000000/$Y$258</f>
        <v>71.634767441199813</v>
      </c>
      <c r="Z260" s="29">
        <f>(Y260-V260)/V260</f>
        <v>0.34659486171493731</v>
      </c>
    </row>
    <row r="261" spans="1:29">
      <c r="A261" s="2" t="s">
        <v>5</v>
      </c>
      <c r="B261" s="9">
        <f>B16</f>
        <v>110.7</v>
      </c>
      <c r="C261" s="9"/>
      <c r="D261" s="9">
        <f>B59</f>
        <v>118.9</v>
      </c>
      <c r="E261" s="29">
        <f>(D261-B261)/B261</f>
        <v>7.4074074074074098E-2</v>
      </c>
      <c r="F261" s="9">
        <f>B100</f>
        <v>122.3</v>
      </c>
      <c r="G261" s="29">
        <f t="shared" ref="G261:G269" si="1">(F261-B261)/B261</f>
        <v>0.10478771454381205</v>
      </c>
      <c r="H261" s="9">
        <f>B142</f>
        <v>125.7</v>
      </c>
      <c r="I261" s="29">
        <f t="shared" ref="I261:I269" si="2">(H261-B261)/B261</f>
        <v>0.13550135501355012</v>
      </c>
      <c r="J261" s="9">
        <f>B184</f>
        <v>124.8</v>
      </c>
      <c r="K261" s="29">
        <f t="shared" ref="K261:K269" si="3">(J261-B261)/B261</f>
        <v>0.12737127371273707</v>
      </c>
      <c r="L261" s="9">
        <f>B228</f>
        <v>124.3</v>
      </c>
      <c r="M261" s="29">
        <f t="shared" ref="M261:M269" si="4">(L261-B261)/B261</f>
        <v>0.12285456187895206</v>
      </c>
      <c r="N261" s="29"/>
      <c r="O261" s="29">
        <f t="shared" ref="O261:O269" si="5">B261/$B$269</f>
        <v>0.29996471959666537</v>
      </c>
      <c r="P261" s="29">
        <f t="shared" ref="P261:P269" si="6">D261/$D$269</f>
        <v>0.28619269481713211</v>
      </c>
      <c r="Q261" s="29">
        <f t="shared" ref="Q261:Q269" si="7">F261/$F$269</f>
        <v>0.284048344331439</v>
      </c>
      <c r="R261" s="29">
        <f t="shared" ref="R261:R269" si="8">H261/$H$269</f>
        <v>0.28129986946522367</v>
      </c>
      <c r="S261" s="29">
        <f t="shared" ref="S261:S269" si="9">J261/$J$269</f>
        <v>0.2714614006391598</v>
      </c>
      <c r="T261" s="29">
        <f t="shared" ref="T261:T269" si="10">L261/$L$269</f>
        <v>0.25680029493482881</v>
      </c>
      <c r="V261" s="225">
        <f t="shared" ref="V261:V274" si="11">B261*1000000/$V$258</f>
        <v>215.23774340627824</v>
      </c>
      <c r="W261" s="225">
        <f t="shared" ref="W261:W274" si="12">F261*1000000/$W$258</f>
        <v>234.30375575701379</v>
      </c>
      <c r="X261" s="225">
        <f t="shared" ref="X261:X274" si="13">H261*1000000/$X$258</f>
        <v>239.41169860409838</v>
      </c>
      <c r="Y261" s="225">
        <f t="shared" ref="Y261:Y269" si="14">L261*1000000/$Y$258</f>
        <v>235.40908720741945</v>
      </c>
      <c r="Z261" s="29">
        <f t="shared" ref="Z261:Z269" si="15">(Y261-V261)/V261</f>
        <v>9.3716573505726639E-2</v>
      </c>
    </row>
    <row r="262" spans="1:29">
      <c r="A262" s="2" t="s">
        <v>6</v>
      </c>
      <c r="B262" s="9">
        <f>B18</f>
        <v>20</v>
      </c>
      <c r="C262" s="9"/>
      <c r="D262" s="9">
        <f>B61</f>
        <v>29</v>
      </c>
      <c r="E262" s="29">
        <f t="shared" si="0"/>
        <v>0.45</v>
      </c>
      <c r="F262" s="9">
        <f>B102</f>
        <v>29</v>
      </c>
      <c r="G262" s="29">
        <f t="shared" si="1"/>
        <v>0.45</v>
      </c>
      <c r="H262" s="9">
        <f>B144</f>
        <v>32.1</v>
      </c>
      <c r="I262" s="29">
        <f t="shared" si="2"/>
        <v>0.60500000000000009</v>
      </c>
      <c r="J262" s="9">
        <f>B186</f>
        <v>36.299999999999997</v>
      </c>
      <c r="K262" s="29">
        <f t="shared" si="3"/>
        <v>0.81499999999999984</v>
      </c>
      <c r="L262" s="9">
        <f>B230</f>
        <v>37.799999999999997</v>
      </c>
      <c r="M262" s="29">
        <f t="shared" si="4"/>
        <v>0.8899999999999999</v>
      </c>
      <c r="N262" s="29"/>
      <c r="O262" s="29">
        <f t="shared" si="5"/>
        <v>5.4194167948810365E-2</v>
      </c>
      <c r="P262" s="29">
        <f t="shared" si="6"/>
        <v>6.9803096296861489E-2</v>
      </c>
      <c r="Q262" s="29">
        <f t="shared" si="7"/>
        <v>6.735406365994874E-2</v>
      </c>
      <c r="R262" s="29">
        <f t="shared" si="8"/>
        <v>7.1835527524532053E-2</v>
      </c>
      <c r="S262" s="29">
        <f t="shared" si="9"/>
        <v>7.8958724705140218E-2</v>
      </c>
      <c r="T262" s="29">
        <f t="shared" si="10"/>
        <v>7.8093734099248011E-2</v>
      </c>
      <c r="V262" s="225">
        <f t="shared" si="11"/>
        <v>38.886674508812696</v>
      </c>
      <c r="W262" s="225">
        <f t="shared" si="12"/>
        <v>55.558535706896159</v>
      </c>
      <c r="X262" s="225">
        <f t="shared" si="13"/>
        <v>61.138548330879537</v>
      </c>
      <c r="Y262" s="225">
        <f t="shared" si="14"/>
        <v>71.588604154790474</v>
      </c>
      <c r="Z262" s="29">
        <f t="shared" si="15"/>
        <v>0.84095464729355296</v>
      </c>
    </row>
    <row r="263" spans="1:29">
      <c r="A263" s="2" t="s">
        <v>478</v>
      </c>
      <c r="B263" s="9">
        <f>B21</f>
        <v>29.807999999999996</v>
      </c>
      <c r="C263" s="9"/>
      <c r="D263" s="9">
        <f>B64</f>
        <v>36.543599999999998</v>
      </c>
      <c r="E263" s="29">
        <f t="shared" si="0"/>
        <v>0.2259661835748793</v>
      </c>
      <c r="F263" s="9">
        <f>B105</f>
        <v>37.5</v>
      </c>
      <c r="G263" s="29">
        <f t="shared" si="1"/>
        <v>0.25805152979066037</v>
      </c>
      <c r="H263" s="9">
        <f>B147</f>
        <v>36.799999999999997</v>
      </c>
      <c r="I263" s="29">
        <f t="shared" si="2"/>
        <v>0.23456790123456797</v>
      </c>
      <c r="J263" s="9">
        <f>B191</f>
        <v>36.9</v>
      </c>
      <c r="K263" s="29">
        <f t="shared" si="3"/>
        <v>0.23792270531400977</v>
      </c>
      <c r="L263" s="9">
        <f>B235</f>
        <v>38</v>
      </c>
      <c r="M263" s="29">
        <f t="shared" si="4"/>
        <v>0.27482555018786919</v>
      </c>
      <c r="N263" s="29"/>
      <c r="O263" s="29">
        <f t="shared" si="5"/>
        <v>8.077098791090695E-2</v>
      </c>
      <c r="P263" s="29">
        <f t="shared" si="6"/>
        <v>8.7960566545999569E-2</v>
      </c>
      <c r="Q263" s="29">
        <f t="shared" si="7"/>
        <v>8.7095771974071659E-2</v>
      </c>
      <c r="R263" s="29">
        <f t="shared" si="8"/>
        <v>8.2353501959588141E-2</v>
      </c>
      <c r="S263" s="29">
        <f t="shared" si="9"/>
        <v>8.0263827592828491E-2</v>
      </c>
      <c r="T263" s="29">
        <f t="shared" si="10"/>
        <v>7.8506928459561504E-2</v>
      </c>
      <c r="V263" s="225">
        <f t="shared" si="11"/>
        <v>57.956699687934432</v>
      </c>
      <c r="W263" s="225">
        <f t="shared" si="12"/>
        <v>71.842934103745023</v>
      </c>
      <c r="X263" s="225">
        <f t="shared" si="13"/>
        <v>70.090298398017666</v>
      </c>
      <c r="Y263" s="225">
        <f t="shared" si="14"/>
        <v>71.967379838149157</v>
      </c>
      <c r="Z263" s="29">
        <f t="shared" si="15"/>
        <v>0.24174392651159712</v>
      </c>
    </row>
    <row r="264" spans="1:29">
      <c r="A264" s="107" t="s">
        <v>359</v>
      </c>
      <c r="B264" s="9">
        <f>B25</f>
        <v>52.45</v>
      </c>
      <c r="C264" s="9"/>
      <c r="D264" s="9">
        <f>B67</f>
        <v>54.4</v>
      </c>
      <c r="E264" s="29">
        <f t="shared" si="0"/>
        <v>3.7178265014299251E-2</v>
      </c>
      <c r="F264" s="9">
        <f>B108</f>
        <v>55.825000000000003</v>
      </c>
      <c r="G264" s="29">
        <f t="shared" si="1"/>
        <v>6.4346997140133463E-2</v>
      </c>
      <c r="H264" s="9">
        <f>B150</f>
        <v>56.55</v>
      </c>
      <c r="I264" s="29">
        <f t="shared" si="2"/>
        <v>7.8169685414680543E-2</v>
      </c>
      <c r="J264" s="9">
        <f>B194</f>
        <v>57.274999999999999</v>
      </c>
      <c r="K264" s="29">
        <f t="shared" si="3"/>
        <v>9.1992373689227747E-2</v>
      </c>
      <c r="L264" s="9">
        <f>B238</f>
        <v>56.4</v>
      </c>
      <c r="M264" s="29">
        <f t="shared" si="4"/>
        <v>7.5309818875119075E-2</v>
      </c>
      <c r="N264" s="29"/>
      <c r="O264" s="144">
        <f t="shared" si="5"/>
        <v>0.14212420544575519</v>
      </c>
      <c r="P264" s="144">
        <f t="shared" si="6"/>
        <v>0.13094098063962983</v>
      </c>
      <c r="Q264" s="144">
        <f t="shared" si="7"/>
        <v>0.12965657254540133</v>
      </c>
      <c r="R264" s="29">
        <f t="shared" si="8"/>
        <v>0.12655137325583449</v>
      </c>
      <c r="S264" s="29">
        <f t="shared" si="9"/>
        <v>0.12458294648724261</v>
      </c>
      <c r="T264" s="29">
        <f t="shared" si="10"/>
        <v>0.1165208096084018</v>
      </c>
      <c r="V264" s="225">
        <f t="shared" si="11"/>
        <v>101.98030389936129</v>
      </c>
      <c r="W264" s="225">
        <f t="shared" si="12"/>
        <v>106.9501812357751</v>
      </c>
      <c r="X264" s="225">
        <f t="shared" si="13"/>
        <v>107.70669495673638</v>
      </c>
      <c r="Y264" s="225">
        <f t="shared" si="14"/>
        <v>106.81474270714769</v>
      </c>
      <c r="Z264" s="29">
        <f t="shared" si="15"/>
        <v>4.7405612877534059E-2</v>
      </c>
    </row>
    <row r="265" spans="1:29">
      <c r="A265" s="2" t="s">
        <v>327</v>
      </c>
      <c r="B265" s="9">
        <f>B28</f>
        <v>0.12540000000000001</v>
      </c>
      <c r="C265" s="9"/>
      <c r="D265" s="9">
        <f>B70</f>
        <v>0.28325000000000006</v>
      </c>
      <c r="E265" s="29">
        <f t="shared" si="0"/>
        <v>1.2587719298245617</v>
      </c>
      <c r="F265" s="9">
        <f>B111</f>
        <v>0.27951000000000004</v>
      </c>
      <c r="G265" s="29">
        <f t="shared" si="1"/>
        <v>1.2289473684210528</v>
      </c>
      <c r="H265" s="9">
        <f>B153</f>
        <v>0.2772</v>
      </c>
      <c r="I265" s="29">
        <f t="shared" si="2"/>
        <v>1.2105263157894735</v>
      </c>
      <c r="J265" s="9">
        <f>B197</f>
        <v>0.29166899999999996</v>
      </c>
      <c r="K265" s="29">
        <f t="shared" si="3"/>
        <v>1.3259090909090903</v>
      </c>
      <c r="L265" s="9">
        <f>B241</f>
        <v>0.30933700000000003</v>
      </c>
      <c r="M265" s="29">
        <f t="shared" si="4"/>
        <v>1.4668022328548644</v>
      </c>
      <c r="N265" s="29"/>
      <c r="O265" s="29">
        <f t="shared" si="5"/>
        <v>3.3979743303904101E-4</v>
      </c>
      <c r="P265" s="29">
        <f t="shared" si="6"/>
        <v>6.817836905546904E-4</v>
      </c>
      <c r="Q265" s="29">
        <f t="shared" si="7"/>
        <v>6.4917704598594056E-4</v>
      </c>
      <c r="R265" s="29">
        <f t="shared" si="8"/>
        <v>6.2033670497820199E-4</v>
      </c>
      <c r="S265" s="29">
        <f t="shared" si="9"/>
        <v>6.3443009024858243E-4</v>
      </c>
      <c r="T265" s="29">
        <f t="shared" si="10"/>
        <v>6.3908151918145738E-4</v>
      </c>
      <c r="V265" s="225">
        <f t="shared" si="11"/>
        <v>0.24381944917025561</v>
      </c>
      <c r="W265" s="225">
        <f t="shared" si="12"/>
        <v>0.53548849363567408</v>
      </c>
      <c r="X265" s="225">
        <f t="shared" si="13"/>
        <v>0.52796279119376344</v>
      </c>
      <c r="Y265" s="225">
        <f t="shared" si="14"/>
        <v>0.58584666781561956</v>
      </c>
      <c r="Z265" s="29">
        <f t="shared" si="15"/>
        <v>1.4027889071578177</v>
      </c>
    </row>
    <row r="266" spans="1:29">
      <c r="A266" s="2" t="s">
        <v>500</v>
      </c>
      <c r="B266" s="9">
        <f>B264+B265</f>
        <v>52.575400000000002</v>
      </c>
      <c r="C266" s="9"/>
      <c r="D266" s="9">
        <f>D264+D265</f>
        <v>54.683250000000001</v>
      </c>
      <c r="E266" s="29">
        <f>(D266-B266)/B266</f>
        <v>4.0091944141176276E-2</v>
      </c>
      <c r="F266" s="9">
        <f>B112</f>
        <v>56.104510000000005</v>
      </c>
      <c r="G266" s="29">
        <f t="shared" si="1"/>
        <v>6.7124738946351389E-2</v>
      </c>
      <c r="H266" s="9">
        <f>B154</f>
        <v>56.827199999999998</v>
      </c>
      <c r="I266" s="29">
        <f t="shared" si="2"/>
        <v>8.0870521194322739E-2</v>
      </c>
      <c r="J266" s="9">
        <f>B198</f>
        <v>57.566668999999997</v>
      </c>
      <c r="K266" s="29">
        <f t="shared" si="3"/>
        <v>9.4935445094093351E-2</v>
      </c>
      <c r="L266" s="9">
        <f>B242</f>
        <v>56.709336999999998</v>
      </c>
      <c r="M266" s="29">
        <f t="shared" si="4"/>
        <v>7.8628731307797864E-2</v>
      </c>
      <c r="N266" s="29"/>
      <c r="O266" s="29">
        <f>B266/$B$269</f>
        <v>0.14246400287879421</v>
      </c>
      <c r="P266" s="29">
        <f>D266/$D$269</f>
        <v>0.13162276433018452</v>
      </c>
      <c r="Q266" s="29">
        <f t="shared" si="7"/>
        <v>0.1303057495913873</v>
      </c>
      <c r="R266" s="29">
        <f t="shared" si="8"/>
        <v>0.1271717099608127</v>
      </c>
      <c r="S266" s="29">
        <f t="shared" si="9"/>
        <v>0.12521737657749119</v>
      </c>
      <c r="T266" s="29">
        <f t="shared" si="10"/>
        <v>0.11715989112758327</v>
      </c>
      <c r="V266" s="225">
        <f t="shared" si="11"/>
        <v>102.22412334853155</v>
      </c>
      <c r="W266" s="225">
        <f t="shared" si="12"/>
        <v>107.48566972941079</v>
      </c>
      <c r="X266" s="225">
        <f t="shared" si="13"/>
        <v>108.23465774793014</v>
      </c>
      <c r="Y266" s="225">
        <f t="shared" si="14"/>
        <v>107.4005893749633</v>
      </c>
      <c r="Z266" s="29">
        <f t="shared" si="15"/>
        <v>5.0638399791237867E-2</v>
      </c>
    </row>
    <row r="267" spans="1:29">
      <c r="A267" s="2" t="s">
        <v>369</v>
      </c>
      <c r="B267" s="9">
        <f>B32</f>
        <v>73.599999999999994</v>
      </c>
      <c r="C267" s="9"/>
      <c r="D267" s="9">
        <f>B74</f>
        <v>87.6</v>
      </c>
      <c r="E267" s="29">
        <f t="shared" si="0"/>
        <v>0.19021739130434784</v>
      </c>
      <c r="F267" s="9">
        <f>B115</f>
        <v>90.8</v>
      </c>
      <c r="G267" s="29">
        <f t="shared" si="1"/>
        <v>0.23369565217391311</v>
      </c>
      <c r="H267" s="9">
        <f>B157</f>
        <v>92.8</v>
      </c>
      <c r="I267" s="29">
        <f t="shared" si="2"/>
        <v>0.26086956521739135</v>
      </c>
      <c r="J267" s="9">
        <f>B203</f>
        <v>92.1</v>
      </c>
      <c r="K267" s="29">
        <f t="shared" si="3"/>
        <v>0.25135869565217395</v>
      </c>
      <c r="L267" s="9">
        <f>B247</f>
        <v>90.4</v>
      </c>
      <c r="M267" s="29">
        <f t="shared" si="4"/>
        <v>0.22826086956521757</v>
      </c>
      <c r="N267" s="29"/>
      <c r="O267" s="29">
        <f t="shared" si="5"/>
        <v>0.19943453805162212</v>
      </c>
      <c r="P267" s="29">
        <f t="shared" si="6"/>
        <v>0.21085349088293331</v>
      </c>
      <c r="Q267" s="29">
        <f t="shared" si="7"/>
        <v>0.21088789587321882</v>
      </c>
      <c r="R267" s="29">
        <f t="shared" si="8"/>
        <v>0.20767404841983098</v>
      </c>
      <c r="S267" s="29">
        <f t="shared" si="9"/>
        <v>0.20033329326014918</v>
      </c>
      <c r="T267" s="29">
        <f t="shared" si="10"/>
        <v>0.1867638508616937</v>
      </c>
      <c r="V267" s="225">
        <f t="shared" si="11"/>
        <v>143.10296219243071</v>
      </c>
      <c r="W267" s="225">
        <f t="shared" si="12"/>
        <v>173.95569110986796</v>
      </c>
      <c r="X267" s="225">
        <f t="shared" si="13"/>
        <v>176.74944813413151</v>
      </c>
      <c r="Y267" s="225">
        <f t="shared" si="14"/>
        <v>171.20660887812323</v>
      </c>
      <c r="Z267" s="29">
        <f t="shared" si="15"/>
        <v>0.19638759572217324</v>
      </c>
    </row>
    <row r="268" spans="1:29">
      <c r="A268" s="2" t="s">
        <v>180</v>
      </c>
      <c r="B268" s="9">
        <f>B38</f>
        <v>55</v>
      </c>
      <c r="C268" s="9"/>
      <c r="D268" s="9">
        <f>B81</f>
        <v>58</v>
      </c>
      <c r="E268" s="29">
        <f t="shared" si="0"/>
        <v>5.4545454545454543E-2</v>
      </c>
      <c r="F268" s="9">
        <f>B122</f>
        <v>62</v>
      </c>
      <c r="G268" s="29">
        <f t="shared" si="1"/>
        <v>0.12727272727272726</v>
      </c>
      <c r="H268" s="9">
        <f>B164</f>
        <v>68</v>
      </c>
      <c r="I268" s="29">
        <f t="shared" si="2"/>
        <v>0.23636363636363636</v>
      </c>
      <c r="J268" s="9">
        <f>B208</f>
        <v>76</v>
      </c>
      <c r="K268" s="29">
        <f t="shared" si="3"/>
        <v>0.38181818181818183</v>
      </c>
      <c r="L268" s="9">
        <f>B252</f>
        <v>99</v>
      </c>
      <c r="M268" s="29">
        <f t="shared" si="4"/>
        <v>0.8</v>
      </c>
      <c r="N268" s="29"/>
      <c r="O268" s="29">
        <f t="shared" si="5"/>
        <v>0.14903396185922849</v>
      </c>
      <c r="P268" s="29">
        <f t="shared" si="6"/>
        <v>0.13960619259372298</v>
      </c>
      <c r="Q268" s="29">
        <f t="shared" si="7"/>
        <v>0.1439983429971318</v>
      </c>
      <c r="R268" s="29">
        <f t="shared" si="8"/>
        <v>0.152174949273152</v>
      </c>
      <c r="S268" s="29">
        <f t="shared" si="9"/>
        <v>0.16531303244051399</v>
      </c>
      <c r="T268" s="29">
        <f t="shared" si="10"/>
        <v>0.20453120835517338</v>
      </c>
      <c r="V268" s="225">
        <f t="shared" si="11"/>
        <v>106.93835489923491</v>
      </c>
      <c r="W268" s="225">
        <f t="shared" si="12"/>
        <v>118.78031771819178</v>
      </c>
      <c r="X268" s="225">
        <f t="shared" si="13"/>
        <v>129.51468182242394</v>
      </c>
      <c r="Y268" s="225">
        <f t="shared" si="14"/>
        <v>187.49396326254646</v>
      </c>
      <c r="Z268" s="29">
        <f t="shared" si="15"/>
        <v>0.75329014027957419</v>
      </c>
    </row>
    <row r="269" spans="1:29" ht="15.75">
      <c r="B269" s="17">
        <f>SUM(B260:B268)-B266</f>
        <v>369.04339999999996</v>
      </c>
      <c r="C269" s="17"/>
      <c r="D269" s="17">
        <f>SUM(D260:D268)-D266</f>
        <v>415.45435000000003</v>
      </c>
      <c r="E269" s="123">
        <f t="shared" si="0"/>
        <v>0.12576014094819221</v>
      </c>
      <c r="F269" s="17">
        <f>SUM(F260:F268)-F266</f>
        <v>430.56051000000002</v>
      </c>
      <c r="G269" s="123">
        <f t="shared" si="1"/>
        <v>0.16669342955327224</v>
      </c>
      <c r="H269" s="17">
        <f>SUM(H260:H268)-H266</f>
        <v>446.85410000000002</v>
      </c>
      <c r="I269" s="123">
        <f t="shared" si="2"/>
        <v>0.21084430720072506</v>
      </c>
      <c r="J269" s="17">
        <f>SUM(J260:J268)-J266</f>
        <v>459.73386899999997</v>
      </c>
      <c r="K269" s="29">
        <f t="shared" si="3"/>
        <v>0.245744725417119</v>
      </c>
      <c r="L269" s="17">
        <f>SUM(L260:L268)-L266</f>
        <v>484.03371200000004</v>
      </c>
      <c r="M269" s="29">
        <f t="shared" si="4"/>
        <v>0.31159021405070536</v>
      </c>
      <c r="N269" s="123"/>
      <c r="O269" s="123">
        <f t="shared" si="5"/>
        <v>1</v>
      </c>
      <c r="P269" s="123">
        <f t="shared" si="6"/>
        <v>1</v>
      </c>
      <c r="Q269" s="123">
        <f t="shared" si="7"/>
        <v>1</v>
      </c>
      <c r="R269" s="123">
        <f t="shared" si="8"/>
        <v>1</v>
      </c>
      <c r="S269" s="29">
        <f t="shared" si="9"/>
        <v>1</v>
      </c>
      <c r="T269" s="29">
        <f t="shared" si="10"/>
        <v>1</v>
      </c>
      <c r="V269" s="225">
        <f t="shared" si="11"/>
        <v>717.54352877127815</v>
      </c>
      <c r="W269" s="225">
        <f t="shared" si="12"/>
        <v>824.87280926946278</v>
      </c>
      <c r="X269" s="225">
        <f t="shared" si="13"/>
        <v>851.09068503743549</v>
      </c>
      <c r="Y269" s="225">
        <f t="shared" si="14"/>
        <v>916.70100015719197</v>
      </c>
      <c r="Z269" s="29">
        <f t="shared" si="15"/>
        <v>0.2775545502123769</v>
      </c>
    </row>
    <row r="270" spans="1:29">
      <c r="B270" s="9"/>
      <c r="C270" s="9"/>
      <c r="D270" s="9"/>
      <c r="E270" s="29"/>
      <c r="F270" s="9"/>
      <c r="G270" s="29"/>
      <c r="H270" s="29"/>
      <c r="O270" s="29"/>
      <c r="P270" s="29"/>
      <c r="Q270" s="29"/>
      <c r="R270" s="29"/>
      <c r="S270" s="29"/>
      <c r="V270" s="225"/>
      <c r="W270" s="225"/>
      <c r="X270" s="225"/>
      <c r="Y270" s="225"/>
      <c r="Z270" s="29"/>
    </row>
    <row r="271" spans="1:29">
      <c r="E271" s="41" t="s">
        <v>181</v>
      </c>
      <c r="G271" s="41" t="s">
        <v>514</v>
      </c>
      <c r="H271" s="41"/>
      <c r="I271" s="2" t="s">
        <v>689</v>
      </c>
      <c r="J271" s="2"/>
      <c r="K271" s="2" t="s">
        <v>823</v>
      </c>
      <c r="L271" s="2"/>
      <c r="M271" s="2" t="s">
        <v>824</v>
      </c>
      <c r="N271" s="2"/>
      <c r="V271" s="225"/>
      <c r="W271" s="225"/>
      <c r="X271" s="225"/>
      <c r="Y271" s="225"/>
      <c r="Z271" s="29"/>
      <c r="AA271" s="52"/>
    </row>
    <row r="272" spans="1:29" ht="25.5">
      <c r="A272" s="130" t="s">
        <v>499</v>
      </c>
      <c r="B272" s="9">
        <f>B266</f>
        <v>52.575400000000002</v>
      </c>
      <c r="D272" s="9">
        <f>D266</f>
        <v>54.683250000000001</v>
      </c>
      <c r="E272" s="29">
        <f t="shared" si="0"/>
        <v>4.0091944141176276E-2</v>
      </c>
      <c r="F272" s="9">
        <f>F266</f>
        <v>56.104510000000005</v>
      </c>
      <c r="G272" s="29">
        <f>(F272-B272)/B272</f>
        <v>6.7124738946351389E-2</v>
      </c>
      <c r="H272" s="9">
        <f>H266</f>
        <v>56.827199999999998</v>
      </c>
      <c r="I272" s="29">
        <f>(H272-B272)/B272</f>
        <v>8.0870521194322739E-2</v>
      </c>
      <c r="J272" s="9">
        <f t="shared" ref="J272" si="16">J266</f>
        <v>57.566668999999997</v>
      </c>
      <c r="K272" s="29">
        <f>(J272-B272)/B272</f>
        <v>9.4935445094093351E-2</v>
      </c>
      <c r="L272" s="9">
        <f t="shared" ref="L272" si="17">L266</f>
        <v>56.709336999999998</v>
      </c>
      <c r="M272" s="29">
        <f>(L272-B272)/B272</f>
        <v>7.8628731307797864E-2</v>
      </c>
      <c r="N272" s="29"/>
      <c r="V272" s="225">
        <f t="shared" si="11"/>
        <v>102.22412334853155</v>
      </c>
      <c r="W272" s="225">
        <f t="shared" si="12"/>
        <v>107.48566972941079</v>
      </c>
      <c r="X272" s="225">
        <f t="shared" si="13"/>
        <v>108.23465774793014</v>
      </c>
      <c r="Y272" s="225">
        <f t="shared" ref="Y272:Y274" si="18">L272*1000000/$Y$258</f>
        <v>107.4005893749633</v>
      </c>
      <c r="Z272" s="29">
        <f t="shared" ref="Z272:Z274" si="19">(Y272-V272)/V272</f>
        <v>5.0638399791237867E-2</v>
      </c>
    </row>
    <row r="273" spans="1:26">
      <c r="A273" s="2" t="s">
        <v>373</v>
      </c>
      <c r="B273" s="9">
        <f>B269</f>
        <v>369.04339999999996</v>
      </c>
      <c r="D273" s="9">
        <f>D269</f>
        <v>415.45435000000003</v>
      </c>
      <c r="E273" s="29">
        <f t="shared" si="0"/>
        <v>0.12576014094819221</v>
      </c>
      <c r="F273" s="9">
        <f>F269</f>
        <v>430.56051000000002</v>
      </c>
      <c r="G273" s="29">
        <f>(F273-B273)/B273</f>
        <v>0.16669342955327224</v>
      </c>
      <c r="H273" s="9">
        <f>H269</f>
        <v>446.85410000000002</v>
      </c>
      <c r="I273" s="29">
        <f>(H273-B273)/B273</f>
        <v>0.21084430720072506</v>
      </c>
      <c r="J273" s="9">
        <f t="shared" ref="J273" si="20">J269</f>
        <v>459.73386899999997</v>
      </c>
      <c r="K273" s="29">
        <f t="shared" ref="K273:K274" si="21">(J273-B273)/B273</f>
        <v>0.245744725417119</v>
      </c>
      <c r="L273" s="9">
        <f t="shared" ref="L273" si="22">L269</f>
        <v>484.03371200000004</v>
      </c>
      <c r="M273" s="29">
        <f t="shared" ref="M273:M274" si="23">(L273-B273)/B273</f>
        <v>0.31159021405070536</v>
      </c>
      <c r="N273" s="29"/>
      <c r="V273" s="225">
        <f t="shared" si="11"/>
        <v>717.54352877127815</v>
      </c>
      <c r="W273" s="225">
        <f t="shared" si="12"/>
        <v>824.87280926946278</v>
      </c>
      <c r="X273" s="225">
        <f t="shared" si="13"/>
        <v>851.09068503743549</v>
      </c>
      <c r="Y273" s="225">
        <f t="shared" si="18"/>
        <v>916.70100015719197</v>
      </c>
      <c r="Z273" s="29">
        <f t="shared" si="19"/>
        <v>0.2775545502123769</v>
      </c>
    </row>
    <row r="274" spans="1:26" ht="25.5">
      <c r="A274" s="130" t="s">
        <v>385</v>
      </c>
      <c r="B274" s="9">
        <f>B273-B272</f>
        <v>316.46799999999996</v>
      </c>
      <c r="D274" s="9">
        <f>D273-D272</f>
        <v>360.77110000000005</v>
      </c>
      <c r="E274" s="29">
        <f t="shared" si="0"/>
        <v>0.13999235309731187</v>
      </c>
      <c r="F274" s="9">
        <f>F273-F272</f>
        <v>374.45600000000002</v>
      </c>
      <c r="G274" s="29">
        <f>(F274-B274)/B274</f>
        <v>0.18323495582491772</v>
      </c>
      <c r="H274" s="9">
        <f>H273-H272</f>
        <v>390.02690000000001</v>
      </c>
      <c r="I274" s="29">
        <f>(H274-B274)/B274</f>
        <v>0.23243708684606362</v>
      </c>
      <c r="J274" s="9">
        <f t="shared" ref="J274" si="24">J273-J272</f>
        <v>402.16719999999998</v>
      </c>
      <c r="K274" s="29">
        <f t="shared" si="21"/>
        <v>0.27079894333708315</v>
      </c>
      <c r="L274" s="9">
        <f t="shared" ref="L274" si="25">L273-L272</f>
        <v>427.32437500000003</v>
      </c>
      <c r="M274" s="29">
        <f t="shared" si="23"/>
        <v>0.3502925256266039</v>
      </c>
      <c r="N274" s="29"/>
      <c r="V274" s="225">
        <f t="shared" si="11"/>
        <v>615.31940542274663</v>
      </c>
      <c r="W274" s="225">
        <f t="shared" si="12"/>
        <v>717.38713954005198</v>
      </c>
      <c r="X274" s="225">
        <f t="shared" si="13"/>
        <v>742.85602728950528</v>
      </c>
      <c r="Y274" s="225">
        <f t="shared" si="18"/>
        <v>809.30041078222871</v>
      </c>
      <c r="Z274" s="29">
        <f t="shared" si="19"/>
        <v>0.31525253981907192</v>
      </c>
    </row>
    <row r="277" spans="1:26">
      <c r="A277" s="52" t="s">
        <v>441</v>
      </c>
    </row>
    <row r="278" spans="1:26">
      <c r="A278" s="52" t="s">
        <v>541</v>
      </c>
    </row>
    <row r="279" spans="1:26">
      <c r="A279" s="39" t="s">
        <v>658</v>
      </c>
      <c r="B279" s="39"/>
      <c r="C279" s="39"/>
      <c r="D279" s="39"/>
    </row>
    <row r="280" spans="1:26">
      <c r="A280" s="52" t="s">
        <v>760</v>
      </c>
    </row>
    <row r="281" spans="1:26">
      <c r="A281" s="52" t="s">
        <v>773</v>
      </c>
    </row>
    <row r="282" spans="1:26">
      <c r="A282" s="52" t="s">
        <v>793</v>
      </c>
    </row>
    <row r="283" spans="1:26">
      <c r="A283" s="149" t="s">
        <v>814</v>
      </c>
      <c r="B283" s="136"/>
      <c r="C283" s="136"/>
      <c r="D283" s="136"/>
    </row>
  </sheetData>
  <mergeCells count="2">
    <mergeCell ref="E143:P143"/>
    <mergeCell ref="Z258:AB258"/>
  </mergeCells>
  <hyperlinks>
    <hyperlink ref="W18" r:id="rId1"/>
    <hyperlink ref="W61" r:id="rId2"/>
    <hyperlink ref="W96" r:id="rId3"/>
    <hyperlink ref="W108" r:id="rId4"/>
    <hyperlink ref="U157" r:id="rId5"/>
  </hyperlinks>
  <pageMargins left="0.70866141732283472" right="0.70866141732283472" top="0.74803149606299213" bottom="0.74803149606299213" header="0.31496062992125984" footer="0.31496062992125984"/>
  <pageSetup scale="85" orientation="landscape" verticalDpi="0" r:id="rId6"/>
</worksheet>
</file>

<file path=xl/worksheets/sheet33.xml><?xml version="1.0" encoding="utf-8"?>
<worksheet xmlns="http://schemas.openxmlformats.org/spreadsheetml/2006/main" xmlns:r="http://schemas.openxmlformats.org/officeDocument/2006/relationships">
  <sheetPr>
    <tabColor rgb="FFFF0000"/>
  </sheetPr>
  <dimension ref="A1:AF283"/>
  <sheetViews>
    <sheetView topLeftCell="A256" workbookViewId="0">
      <selection activeCell="A259" sqref="A259:L267"/>
    </sheetView>
  </sheetViews>
  <sheetFormatPr defaultRowHeight="12.75"/>
  <cols>
    <col min="1" max="1" width="35.42578125" customWidth="1"/>
    <col min="2" max="2" width="10.140625" customWidth="1"/>
    <col min="3" max="3" width="2.7109375" customWidth="1"/>
    <col min="4" max="4" width="14" customWidth="1"/>
    <col min="5" max="9" width="9.28515625" bestFit="1" customWidth="1"/>
    <col min="10" max="14" width="9.28515625" customWidth="1"/>
    <col min="15" max="18" width="9.28515625" bestFit="1" customWidth="1"/>
    <col min="19" max="20" width="9.28515625" customWidth="1"/>
    <col min="22" max="22" width="10" customWidth="1"/>
    <col min="268" max="268" width="35.42578125" customWidth="1"/>
    <col min="269" max="269" width="10.140625" customWidth="1"/>
    <col min="270" max="270" width="14" customWidth="1"/>
    <col min="271" max="271" width="10.140625" customWidth="1"/>
    <col min="272" max="272" width="14" customWidth="1"/>
    <col min="280" max="280" width="10" customWidth="1"/>
    <col min="524" max="524" width="35.42578125" customWidth="1"/>
    <col min="525" max="525" width="10.140625" customWidth="1"/>
    <col min="526" max="526" width="14" customWidth="1"/>
    <col min="527" max="527" width="10.140625" customWidth="1"/>
    <col min="528" max="528" width="14" customWidth="1"/>
    <col min="536" max="536" width="10" customWidth="1"/>
    <col min="780" max="780" width="35.42578125" customWidth="1"/>
    <col min="781" max="781" width="10.140625" customWidth="1"/>
    <col min="782" max="782" width="14" customWidth="1"/>
    <col min="783" max="783" width="10.140625" customWidth="1"/>
    <col min="784" max="784" width="14" customWidth="1"/>
    <col min="792" max="792" width="10" customWidth="1"/>
    <col min="1036" max="1036" width="35.42578125" customWidth="1"/>
    <col min="1037" max="1037" width="10.140625" customWidth="1"/>
    <col min="1038" max="1038" width="14" customWidth="1"/>
    <col min="1039" max="1039" width="10.140625" customWidth="1"/>
    <col min="1040" max="1040" width="14" customWidth="1"/>
    <col min="1048" max="1048" width="10" customWidth="1"/>
    <col min="1292" max="1292" width="35.42578125" customWidth="1"/>
    <col min="1293" max="1293" width="10.140625" customWidth="1"/>
    <col min="1294" max="1294" width="14" customWidth="1"/>
    <col min="1295" max="1295" width="10.140625" customWidth="1"/>
    <col min="1296" max="1296" width="14" customWidth="1"/>
    <col min="1304" max="1304" width="10" customWidth="1"/>
    <col min="1548" max="1548" width="35.42578125" customWidth="1"/>
    <col min="1549" max="1549" width="10.140625" customWidth="1"/>
    <col min="1550" max="1550" width="14" customWidth="1"/>
    <col min="1551" max="1551" width="10.140625" customWidth="1"/>
    <col min="1552" max="1552" width="14" customWidth="1"/>
    <col min="1560" max="1560" width="10" customWidth="1"/>
    <col min="1804" max="1804" width="35.42578125" customWidth="1"/>
    <col min="1805" max="1805" width="10.140625" customWidth="1"/>
    <col min="1806" max="1806" width="14" customWidth="1"/>
    <col min="1807" max="1807" width="10.140625" customWidth="1"/>
    <col min="1808" max="1808" width="14" customWidth="1"/>
    <col min="1816" max="1816" width="10" customWidth="1"/>
    <col min="2060" max="2060" width="35.42578125" customWidth="1"/>
    <col min="2061" max="2061" width="10.140625" customWidth="1"/>
    <col min="2062" max="2062" width="14" customWidth="1"/>
    <col min="2063" max="2063" width="10.140625" customWidth="1"/>
    <col min="2064" max="2064" width="14" customWidth="1"/>
    <col min="2072" max="2072" width="10" customWidth="1"/>
    <col min="2316" max="2316" width="35.42578125" customWidth="1"/>
    <col min="2317" max="2317" width="10.140625" customWidth="1"/>
    <col min="2318" max="2318" width="14" customWidth="1"/>
    <col min="2319" max="2319" width="10.140625" customWidth="1"/>
    <col min="2320" max="2320" width="14" customWidth="1"/>
    <col min="2328" max="2328" width="10" customWidth="1"/>
    <col min="2572" max="2572" width="35.42578125" customWidth="1"/>
    <col min="2573" max="2573" width="10.140625" customWidth="1"/>
    <col min="2574" max="2574" width="14" customWidth="1"/>
    <col min="2575" max="2575" width="10.140625" customWidth="1"/>
    <col min="2576" max="2576" width="14" customWidth="1"/>
    <col min="2584" max="2584" width="10" customWidth="1"/>
    <col min="2828" max="2828" width="35.42578125" customWidth="1"/>
    <col min="2829" max="2829" width="10.140625" customWidth="1"/>
    <col min="2830" max="2830" width="14" customWidth="1"/>
    <col min="2831" max="2831" width="10.140625" customWidth="1"/>
    <col min="2832" max="2832" width="14" customWidth="1"/>
    <col min="2840" max="2840" width="10" customWidth="1"/>
    <col min="3084" max="3084" width="35.42578125" customWidth="1"/>
    <col min="3085" max="3085" width="10.140625" customWidth="1"/>
    <col min="3086" max="3086" width="14" customWidth="1"/>
    <col min="3087" max="3087" width="10.140625" customWidth="1"/>
    <col min="3088" max="3088" width="14" customWidth="1"/>
    <col min="3096" max="3096" width="10" customWidth="1"/>
    <col min="3340" max="3340" width="35.42578125" customWidth="1"/>
    <col min="3341" max="3341" width="10.140625" customWidth="1"/>
    <col min="3342" max="3342" width="14" customWidth="1"/>
    <col min="3343" max="3343" width="10.140625" customWidth="1"/>
    <col min="3344" max="3344" width="14" customWidth="1"/>
    <col min="3352" max="3352" width="10" customWidth="1"/>
    <col min="3596" max="3596" width="35.42578125" customWidth="1"/>
    <col min="3597" max="3597" width="10.140625" customWidth="1"/>
    <col min="3598" max="3598" width="14" customWidth="1"/>
    <col min="3599" max="3599" width="10.140625" customWidth="1"/>
    <col min="3600" max="3600" width="14" customWidth="1"/>
    <col min="3608" max="3608" width="10" customWidth="1"/>
    <col min="3852" max="3852" width="35.42578125" customWidth="1"/>
    <col min="3853" max="3853" width="10.140625" customWidth="1"/>
    <col min="3854" max="3854" width="14" customWidth="1"/>
    <col min="3855" max="3855" width="10.140625" customWidth="1"/>
    <col min="3856" max="3856" width="14" customWidth="1"/>
    <col min="3864" max="3864" width="10" customWidth="1"/>
    <col min="4108" max="4108" width="35.42578125" customWidth="1"/>
    <col min="4109" max="4109" width="10.140625" customWidth="1"/>
    <col min="4110" max="4110" width="14" customWidth="1"/>
    <col min="4111" max="4111" width="10.140625" customWidth="1"/>
    <col min="4112" max="4112" width="14" customWidth="1"/>
    <col min="4120" max="4120" width="10" customWidth="1"/>
    <col min="4364" max="4364" width="35.42578125" customWidth="1"/>
    <col min="4365" max="4365" width="10.140625" customWidth="1"/>
    <col min="4366" max="4366" width="14" customWidth="1"/>
    <col min="4367" max="4367" width="10.140625" customWidth="1"/>
    <col min="4368" max="4368" width="14" customWidth="1"/>
    <col min="4376" max="4376" width="10" customWidth="1"/>
    <col min="4620" max="4620" width="35.42578125" customWidth="1"/>
    <col min="4621" max="4621" width="10.140625" customWidth="1"/>
    <col min="4622" max="4622" width="14" customWidth="1"/>
    <col min="4623" max="4623" width="10.140625" customWidth="1"/>
    <col min="4624" max="4624" width="14" customWidth="1"/>
    <col min="4632" max="4632" width="10" customWidth="1"/>
    <col min="4876" max="4876" width="35.42578125" customWidth="1"/>
    <col min="4877" max="4877" width="10.140625" customWidth="1"/>
    <col min="4878" max="4878" width="14" customWidth="1"/>
    <col min="4879" max="4879" width="10.140625" customWidth="1"/>
    <col min="4880" max="4880" width="14" customWidth="1"/>
    <col min="4888" max="4888" width="10" customWidth="1"/>
    <col min="5132" max="5132" width="35.42578125" customWidth="1"/>
    <col min="5133" max="5133" width="10.140625" customWidth="1"/>
    <col min="5134" max="5134" width="14" customWidth="1"/>
    <col min="5135" max="5135" width="10.140625" customWidth="1"/>
    <col min="5136" max="5136" width="14" customWidth="1"/>
    <col min="5144" max="5144" width="10" customWidth="1"/>
    <col min="5388" max="5388" width="35.42578125" customWidth="1"/>
    <col min="5389" max="5389" width="10.140625" customWidth="1"/>
    <col min="5390" max="5390" width="14" customWidth="1"/>
    <col min="5391" max="5391" width="10.140625" customWidth="1"/>
    <col min="5392" max="5392" width="14" customWidth="1"/>
    <col min="5400" max="5400" width="10" customWidth="1"/>
    <col min="5644" max="5644" width="35.42578125" customWidth="1"/>
    <col min="5645" max="5645" width="10.140625" customWidth="1"/>
    <col min="5646" max="5646" width="14" customWidth="1"/>
    <col min="5647" max="5647" width="10.140625" customWidth="1"/>
    <col min="5648" max="5648" width="14" customWidth="1"/>
    <col min="5656" max="5656" width="10" customWidth="1"/>
    <col min="5900" max="5900" width="35.42578125" customWidth="1"/>
    <col min="5901" max="5901" width="10.140625" customWidth="1"/>
    <col min="5902" max="5902" width="14" customWidth="1"/>
    <col min="5903" max="5903" width="10.140625" customWidth="1"/>
    <col min="5904" max="5904" width="14" customWidth="1"/>
    <col min="5912" max="5912" width="10" customWidth="1"/>
    <col min="6156" max="6156" width="35.42578125" customWidth="1"/>
    <col min="6157" max="6157" width="10.140625" customWidth="1"/>
    <col min="6158" max="6158" width="14" customWidth="1"/>
    <col min="6159" max="6159" width="10.140625" customWidth="1"/>
    <col min="6160" max="6160" width="14" customWidth="1"/>
    <col min="6168" max="6168" width="10" customWidth="1"/>
    <col min="6412" max="6412" width="35.42578125" customWidth="1"/>
    <col min="6413" max="6413" width="10.140625" customWidth="1"/>
    <col min="6414" max="6414" width="14" customWidth="1"/>
    <col min="6415" max="6415" width="10.140625" customWidth="1"/>
    <col min="6416" max="6416" width="14" customWidth="1"/>
    <col min="6424" max="6424" width="10" customWidth="1"/>
    <col min="6668" max="6668" width="35.42578125" customWidth="1"/>
    <col min="6669" max="6669" width="10.140625" customWidth="1"/>
    <col min="6670" max="6670" width="14" customWidth="1"/>
    <col min="6671" max="6671" width="10.140625" customWidth="1"/>
    <col min="6672" max="6672" width="14" customWidth="1"/>
    <col min="6680" max="6680" width="10" customWidth="1"/>
    <col min="6924" max="6924" width="35.42578125" customWidth="1"/>
    <col min="6925" max="6925" width="10.140625" customWidth="1"/>
    <col min="6926" max="6926" width="14" customWidth="1"/>
    <col min="6927" max="6927" width="10.140625" customWidth="1"/>
    <col min="6928" max="6928" width="14" customWidth="1"/>
    <col min="6936" max="6936" width="10" customWidth="1"/>
    <col min="7180" max="7180" width="35.42578125" customWidth="1"/>
    <col min="7181" max="7181" width="10.140625" customWidth="1"/>
    <col min="7182" max="7182" width="14" customWidth="1"/>
    <col min="7183" max="7183" width="10.140625" customWidth="1"/>
    <col min="7184" max="7184" width="14" customWidth="1"/>
    <col min="7192" max="7192" width="10" customWidth="1"/>
    <col min="7436" max="7436" width="35.42578125" customWidth="1"/>
    <col min="7437" max="7437" width="10.140625" customWidth="1"/>
    <col min="7438" max="7438" width="14" customWidth="1"/>
    <col min="7439" max="7439" width="10.140625" customWidth="1"/>
    <col min="7440" max="7440" width="14" customWidth="1"/>
    <col min="7448" max="7448" width="10" customWidth="1"/>
    <col min="7692" max="7692" width="35.42578125" customWidth="1"/>
    <col min="7693" max="7693" width="10.140625" customWidth="1"/>
    <col min="7694" max="7694" width="14" customWidth="1"/>
    <col min="7695" max="7695" width="10.140625" customWidth="1"/>
    <col min="7696" max="7696" width="14" customWidth="1"/>
    <col min="7704" max="7704" width="10" customWidth="1"/>
    <col min="7948" max="7948" width="35.42578125" customWidth="1"/>
    <col min="7949" max="7949" width="10.140625" customWidth="1"/>
    <col min="7950" max="7950" width="14" customWidth="1"/>
    <col min="7951" max="7951" width="10.140625" customWidth="1"/>
    <col min="7952" max="7952" width="14" customWidth="1"/>
    <col min="7960" max="7960" width="10" customWidth="1"/>
    <col min="8204" max="8204" width="35.42578125" customWidth="1"/>
    <col min="8205" max="8205" width="10.140625" customWidth="1"/>
    <col min="8206" max="8206" width="14" customWidth="1"/>
    <col min="8207" max="8207" width="10.140625" customWidth="1"/>
    <col min="8208" max="8208" width="14" customWidth="1"/>
    <col min="8216" max="8216" width="10" customWidth="1"/>
    <col min="8460" max="8460" width="35.42578125" customWidth="1"/>
    <col min="8461" max="8461" width="10.140625" customWidth="1"/>
    <col min="8462" max="8462" width="14" customWidth="1"/>
    <col min="8463" max="8463" width="10.140625" customWidth="1"/>
    <col min="8464" max="8464" width="14" customWidth="1"/>
    <col min="8472" max="8472" width="10" customWidth="1"/>
    <col min="8716" max="8716" width="35.42578125" customWidth="1"/>
    <col min="8717" max="8717" width="10.140625" customWidth="1"/>
    <col min="8718" max="8718" width="14" customWidth="1"/>
    <col min="8719" max="8719" width="10.140625" customWidth="1"/>
    <col min="8720" max="8720" width="14" customWidth="1"/>
    <col min="8728" max="8728" width="10" customWidth="1"/>
    <col min="8972" max="8972" width="35.42578125" customWidth="1"/>
    <col min="8973" max="8973" width="10.140625" customWidth="1"/>
    <col min="8974" max="8974" width="14" customWidth="1"/>
    <col min="8975" max="8975" width="10.140625" customWidth="1"/>
    <col min="8976" max="8976" width="14" customWidth="1"/>
    <col min="8984" max="8984" width="10" customWidth="1"/>
    <col min="9228" max="9228" width="35.42578125" customWidth="1"/>
    <col min="9229" max="9229" width="10.140625" customWidth="1"/>
    <col min="9230" max="9230" width="14" customWidth="1"/>
    <col min="9231" max="9231" width="10.140625" customWidth="1"/>
    <col min="9232" max="9232" width="14" customWidth="1"/>
    <col min="9240" max="9240" width="10" customWidth="1"/>
    <col min="9484" max="9484" width="35.42578125" customWidth="1"/>
    <col min="9485" max="9485" width="10.140625" customWidth="1"/>
    <col min="9486" max="9486" width="14" customWidth="1"/>
    <col min="9487" max="9487" width="10.140625" customWidth="1"/>
    <col min="9488" max="9488" width="14" customWidth="1"/>
    <col min="9496" max="9496" width="10" customWidth="1"/>
    <col min="9740" max="9740" width="35.42578125" customWidth="1"/>
    <col min="9741" max="9741" width="10.140625" customWidth="1"/>
    <col min="9742" max="9742" width="14" customWidth="1"/>
    <col min="9743" max="9743" width="10.140625" customWidth="1"/>
    <col min="9744" max="9744" width="14" customWidth="1"/>
    <col min="9752" max="9752" width="10" customWidth="1"/>
    <col min="9996" max="9996" width="35.42578125" customWidth="1"/>
    <col min="9997" max="9997" width="10.140625" customWidth="1"/>
    <col min="9998" max="9998" width="14" customWidth="1"/>
    <col min="9999" max="9999" width="10.140625" customWidth="1"/>
    <col min="10000" max="10000" width="14" customWidth="1"/>
    <col min="10008" max="10008" width="10" customWidth="1"/>
    <col min="10252" max="10252" width="35.42578125" customWidth="1"/>
    <col min="10253" max="10253" width="10.140625" customWidth="1"/>
    <col min="10254" max="10254" width="14" customWidth="1"/>
    <col min="10255" max="10255" width="10.140625" customWidth="1"/>
    <col min="10256" max="10256" width="14" customWidth="1"/>
    <col min="10264" max="10264" width="10" customWidth="1"/>
    <col min="10508" max="10508" width="35.42578125" customWidth="1"/>
    <col min="10509" max="10509" width="10.140625" customWidth="1"/>
    <col min="10510" max="10510" width="14" customWidth="1"/>
    <col min="10511" max="10511" width="10.140625" customWidth="1"/>
    <col min="10512" max="10512" width="14" customWidth="1"/>
    <col min="10520" max="10520" width="10" customWidth="1"/>
    <col min="10764" max="10764" width="35.42578125" customWidth="1"/>
    <col min="10765" max="10765" width="10.140625" customWidth="1"/>
    <col min="10766" max="10766" width="14" customWidth="1"/>
    <col min="10767" max="10767" width="10.140625" customWidth="1"/>
    <col min="10768" max="10768" width="14" customWidth="1"/>
    <col min="10776" max="10776" width="10" customWidth="1"/>
    <col min="11020" max="11020" width="35.42578125" customWidth="1"/>
    <col min="11021" max="11021" width="10.140625" customWidth="1"/>
    <col min="11022" max="11022" width="14" customWidth="1"/>
    <col min="11023" max="11023" width="10.140625" customWidth="1"/>
    <col min="11024" max="11024" width="14" customWidth="1"/>
    <col min="11032" max="11032" width="10" customWidth="1"/>
    <col min="11276" max="11276" width="35.42578125" customWidth="1"/>
    <col min="11277" max="11277" width="10.140625" customWidth="1"/>
    <col min="11278" max="11278" width="14" customWidth="1"/>
    <col min="11279" max="11279" width="10.140625" customWidth="1"/>
    <col min="11280" max="11280" width="14" customWidth="1"/>
    <col min="11288" max="11288" width="10" customWidth="1"/>
    <col min="11532" max="11532" width="35.42578125" customWidth="1"/>
    <col min="11533" max="11533" width="10.140625" customWidth="1"/>
    <col min="11534" max="11534" width="14" customWidth="1"/>
    <col min="11535" max="11535" width="10.140625" customWidth="1"/>
    <col min="11536" max="11536" width="14" customWidth="1"/>
    <col min="11544" max="11544" width="10" customWidth="1"/>
    <col min="11788" max="11788" width="35.42578125" customWidth="1"/>
    <col min="11789" max="11789" width="10.140625" customWidth="1"/>
    <col min="11790" max="11790" width="14" customWidth="1"/>
    <col min="11791" max="11791" width="10.140625" customWidth="1"/>
    <col min="11792" max="11792" width="14" customWidth="1"/>
    <col min="11800" max="11800" width="10" customWidth="1"/>
    <col min="12044" max="12044" width="35.42578125" customWidth="1"/>
    <col min="12045" max="12045" width="10.140625" customWidth="1"/>
    <col min="12046" max="12046" width="14" customWidth="1"/>
    <col min="12047" max="12047" width="10.140625" customWidth="1"/>
    <col min="12048" max="12048" width="14" customWidth="1"/>
    <col min="12056" max="12056" width="10" customWidth="1"/>
    <col min="12300" max="12300" width="35.42578125" customWidth="1"/>
    <col min="12301" max="12301" width="10.140625" customWidth="1"/>
    <col min="12302" max="12302" width="14" customWidth="1"/>
    <col min="12303" max="12303" width="10.140625" customWidth="1"/>
    <col min="12304" max="12304" width="14" customWidth="1"/>
    <col min="12312" max="12312" width="10" customWidth="1"/>
    <col min="12556" max="12556" width="35.42578125" customWidth="1"/>
    <col min="12557" max="12557" width="10.140625" customWidth="1"/>
    <col min="12558" max="12558" width="14" customWidth="1"/>
    <col min="12559" max="12559" width="10.140625" customWidth="1"/>
    <col min="12560" max="12560" width="14" customWidth="1"/>
    <col min="12568" max="12568" width="10" customWidth="1"/>
    <col min="12812" max="12812" width="35.42578125" customWidth="1"/>
    <col min="12813" max="12813" width="10.140625" customWidth="1"/>
    <col min="12814" max="12814" width="14" customWidth="1"/>
    <col min="12815" max="12815" width="10.140625" customWidth="1"/>
    <col min="12816" max="12816" width="14" customWidth="1"/>
    <col min="12824" max="12824" width="10" customWidth="1"/>
    <col min="13068" max="13068" width="35.42578125" customWidth="1"/>
    <col min="13069" max="13069" width="10.140625" customWidth="1"/>
    <col min="13070" max="13070" width="14" customWidth="1"/>
    <col min="13071" max="13071" width="10.140625" customWidth="1"/>
    <col min="13072" max="13072" width="14" customWidth="1"/>
    <col min="13080" max="13080" width="10" customWidth="1"/>
    <col min="13324" max="13324" width="35.42578125" customWidth="1"/>
    <col min="13325" max="13325" width="10.140625" customWidth="1"/>
    <col min="13326" max="13326" width="14" customWidth="1"/>
    <col min="13327" max="13327" width="10.140625" customWidth="1"/>
    <col min="13328" max="13328" width="14" customWidth="1"/>
    <col min="13336" max="13336" width="10" customWidth="1"/>
    <col min="13580" max="13580" width="35.42578125" customWidth="1"/>
    <col min="13581" max="13581" width="10.140625" customWidth="1"/>
    <col min="13582" max="13582" width="14" customWidth="1"/>
    <col min="13583" max="13583" width="10.140625" customWidth="1"/>
    <col min="13584" max="13584" width="14" customWidth="1"/>
    <col min="13592" max="13592" width="10" customWidth="1"/>
    <col min="13836" max="13836" width="35.42578125" customWidth="1"/>
    <col min="13837" max="13837" width="10.140625" customWidth="1"/>
    <col min="13838" max="13838" width="14" customWidth="1"/>
    <col min="13839" max="13839" width="10.140625" customWidth="1"/>
    <col min="13840" max="13840" width="14" customWidth="1"/>
    <col min="13848" max="13848" width="10" customWidth="1"/>
    <col min="14092" max="14092" width="35.42578125" customWidth="1"/>
    <col min="14093" max="14093" width="10.140625" customWidth="1"/>
    <col min="14094" max="14094" width="14" customWidth="1"/>
    <col min="14095" max="14095" width="10.140625" customWidth="1"/>
    <col min="14096" max="14096" width="14" customWidth="1"/>
    <col min="14104" max="14104" width="10" customWidth="1"/>
    <col min="14348" max="14348" width="35.42578125" customWidth="1"/>
    <col min="14349" max="14349" width="10.140625" customWidth="1"/>
    <col min="14350" max="14350" width="14" customWidth="1"/>
    <col min="14351" max="14351" width="10.140625" customWidth="1"/>
    <col min="14352" max="14352" width="14" customWidth="1"/>
    <col min="14360" max="14360" width="10" customWidth="1"/>
    <col min="14604" max="14604" width="35.42578125" customWidth="1"/>
    <col min="14605" max="14605" width="10.140625" customWidth="1"/>
    <col min="14606" max="14606" width="14" customWidth="1"/>
    <col min="14607" max="14607" width="10.140625" customWidth="1"/>
    <col min="14608" max="14608" width="14" customWidth="1"/>
    <col min="14616" max="14616" width="10" customWidth="1"/>
    <col min="14860" max="14860" width="35.42578125" customWidth="1"/>
    <col min="14861" max="14861" width="10.140625" customWidth="1"/>
    <col min="14862" max="14862" width="14" customWidth="1"/>
    <col min="14863" max="14863" width="10.140625" customWidth="1"/>
    <col min="14864" max="14864" width="14" customWidth="1"/>
    <col min="14872" max="14872" width="10" customWidth="1"/>
    <col min="15116" max="15116" width="35.42578125" customWidth="1"/>
    <col min="15117" max="15117" width="10.140625" customWidth="1"/>
    <col min="15118" max="15118" width="14" customWidth="1"/>
    <col min="15119" max="15119" width="10.140625" customWidth="1"/>
    <col min="15120" max="15120" width="14" customWidth="1"/>
    <col min="15128" max="15128" width="10" customWidth="1"/>
    <col min="15372" max="15372" width="35.42578125" customWidth="1"/>
    <col min="15373" max="15373" width="10.140625" customWidth="1"/>
    <col min="15374" max="15374" width="14" customWidth="1"/>
    <col min="15375" max="15375" width="10.140625" customWidth="1"/>
    <col min="15376" max="15376" width="14" customWidth="1"/>
    <col min="15384" max="15384" width="10" customWidth="1"/>
    <col min="15628" max="15628" width="35.42578125" customWidth="1"/>
    <col min="15629" max="15629" width="10.140625" customWidth="1"/>
    <col min="15630" max="15630" width="14" customWidth="1"/>
    <col min="15631" max="15631" width="10.140625" customWidth="1"/>
    <col min="15632" max="15632" width="14" customWidth="1"/>
    <col min="15640" max="15640" width="10" customWidth="1"/>
    <col min="15884" max="15884" width="35.42578125" customWidth="1"/>
    <col min="15885" max="15885" width="10.140625" customWidth="1"/>
    <col min="15886" max="15886" width="14" customWidth="1"/>
    <col min="15887" max="15887" width="10.140625" customWidth="1"/>
    <col min="15888" max="15888" width="14" customWidth="1"/>
    <col min="15896" max="15896" width="10" customWidth="1"/>
    <col min="16140" max="16140" width="35.42578125" customWidth="1"/>
    <col min="16141" max="16141" width="10.140625" customWidth="1"/>
    <col min="16142" max="16142" width="14" customWidth="1"/>
    <col min="16143" max="16143" width="10.140625" customWidth="1"/>
    <col min="16144" max="16144" width="14" customWidth="1"/>
    <col min="16152" max="16152" width="10" customWidth="1"/>
  </cols>
  <sheetData>
    <row r="1" spans="1:25">
      <c r="B1" s="41" t="s">
        <v>29</v>
      </c>
      <c r="C1" s="41"/>
    </row>
    <row r="2" spans="1:25">
      <c r="B2" s="41" t="s">
        <v>58</v>
      </c>
      <c r="C2" s="41"/>
    </row>
    <row r="3" spans="1:25">
      <c r="B3" s="41" t="s">
        <v>16</v>
      </c>
      <c r="C3" s="41"/>
      <c r="E3" s="2" t="s">
        <v>59</v>
      </c>
      <c r="V3" s="2"/>
      <c r="W3" s="2" t="s">
        <v>92</v>
      </c>
      <c r="X3" s="2"/>
      <c r="Y3" s="2"/>
    </row>
    <row r="4" spans="1:25">
      <c r="A4" s="2" t="s">
        <v>11</v>
      </c>
      <c r="B4" s="106"/>
      <c r="C4" s="106"/>
    </row>
    <row r="5" spans="1:25">
      <c r="B5" s="106"/>
      <c r="C5" s="106"/>
    </row>
    <row r="6" spans="1:25">
      <c r="A6" t="s">
        <v>0</v>
      </c>
      <c r="B6" s="46">
        <f>'Disability $ details 05-06'!B6*0.004</f>
        <v>2.16</v>
      </c>
      <c r="C6" s="46"/>
      <c r="D6" s="22" t="s">
        <v>217</v>
      </c>
      <c r="E6" t="s">
        <v>354</v>
      </c>
      <c r="W6" s="38" t="s">
        <v>344</v>
      </c>
      <c r="X6" s="38"/>
      <c r="Y6" s="38"/>
    </row>
    <row r="7" spans="1:25">
      <c r="A7" t="s">
        <v>1</v>
      </c>
      <c r="B7" s="46">
        <f>'Disability $ details 05-06'!B7*0.004</f>
        <v>3.5</v>
      </c>
      <c r="C7" s="46"/>
      <c r="D7" s="22" t="s">
        <v>217</v>
      </c>
      <c r="E7" t="s">
        <v>218</v>
      </c>
      <c r="Q7" t="s">
        <v>93</v>
      </c>
    </row>
    <row r="8" spans="1:25">
      <c r="A8" t="s">
        <v>14</v>
      </c>
      <c r="B8" s="46">
        <f>'Disability $ details 05-06'!B8*0.004</f>
        <v>0.34</v>
      </c>
      <c r="C8" s="46"/>
      <c r="D8" s="22" t="s">
        <v>217</v>
      </c>
      <c r="E8" t="s">
        <v>443</v>
      </c>
    </row>
    <row r="9" spans="1:25">
      <c r="A9" t="s">
        <v>2</v>
      </c>
      <c r="B9" s="46">
        <f>'Disability $ details 05-06'!B9*0.004</f>
        <v>0.02</v>
      </c>
      <c r="C9" s="46"/>
      <c r="D9" s="22" t="s">
        <v>217</v>
      </c>
    </row>
    <row r="10" spans="1:25">
      <c r="A10" t="s">
        <v>68</v>
      </c>
      <c r="B10" s="46">
        <f>'Disability $ details 05-06'!B10*0.004</f>
        <v>0</v>
      </c>
      <c r="C10" s="46"/>
      <c r="D10" s="22" t="s">
        <v>217</v>
      </c>
    </row>
    <row r="11" spans="1:25">
      <c r="A11" t="s">
        <v>3</v>
      </c>
      <c r="B11" s="46">
        <f>'Disability $ details 05-06'!B11*0.004</f>
        <v>0.46</v>
      </c>
      <c r="C11" s="46"/>
      <c r="D11" s="22" t="s">
        <v>217</v>
      </c>
    </row>
    <row r="12" spans="1:25">
      <c r="A12" t="s">
        <v>15</v>
      </c>
      <c r="B12" s="46">
        <f>'Disability $ details 05-06'!B12*0.004</f>
        <v>0.36</v>
      </c>
      <c r="C12" s="46"/>
      <c r="D12" s="22" t="s">
        <v>217</v>
      </c>
      <c r="V12" s="7"/>
    </row>
    <row r="13" spans="1:25">
      <c r="A13" s="3" t="s">
        <v>24</v>
      </c>
      <c r="B13" s="104">
        <f>SUM(B6:B12)</f>
        <v>6.84</v>
      </c>
      <c r="C13" s="104"/>
      <c r="D13" s="22" t="s">
        <v>217</v>
      </c>
      <c r="V13" s="7"/>
    </row>
    <row r="14" spans="1:25">
      <c r="B14" s="46"/>
      <c r="C14" s="46"/>
      <c r="D14" s="22"/>
      <c r="V14" s="7"/>
    </row>
    <row r="15" spans="1:25">
      <c r="A15" s="2" t="s">
        <v>4</v>
      </c>
      <c r="B15" s="46"/>
      <c r="C15" s="46"/>
      <c r="D15" s="22"/>
      <c r="V15" s="7"/>
    </row>
    <row r="16" spans="1:25">
      <c r="A16" t="s">
        <v>5</v>
      </c>
      <c r="B16" s="105">
        <v>26</v>
      </c>
      <c r="C16" s="46"/>
      <c r="D16" s="22"/>
      <c r="E16" t="s">
        <v>438</v>
      </c>
      <c r="V16" s="7"/>
      <c r="W16" t="s">
        <v>220</v>
      </c>
    </row>
    <row r="17" spans="1:25">
      <c r="A17" t="s">
        <v>69</v>
      </c>
      <c r="C17" s="105"/>
      <c r="D17" s="22"/>
      <c r="V17" s="7"/>
    </row>
    <row r="18" spans="1:25">
      <c r="A18" t="s">
        <v>6</v>
      </c>
      <c r="B18" s="46">
        <v>8</v>
      </c>
      <c r="C18" s="46"/>
      <c r="D18" s="22"/>
      <c r="E18" t="s">
        <v>316</v>
      </c>
      <c r="V18" s="7"/>
      <c r="W18" s="38" t="s">
        <v>72</v>
      </c>
      <c r="X18" s="38"/>
      <c r="Y18" s="38"/>
    </row>
    <row r="19" spans="1:25">
      <c r="A19" s="3" t="s">
        <v>24</v>
      </c>
      <c r="B19" s="104">
        <f>SUM(B16:B18)</f>
        <v>34</v>
      </c>
      <c r="C19" s="104"/>
      <c r="D19" s="22"/>
      <c r="V19" s="7"/>
    </row>
    <row r="20" spans="1:25">
      <c r="B20" s="46"/>
      <c r="C20" s="46"/>
      <c r="D20" s="22"/>
      <c r="V20" s="7"/>
    </row>
    <row r="21" spans="1:25">
      <c r="A21" t="s">
        <v>101</v>
      </c>
      <c r="B21" s="46">
        <f>1656*0.011</f>
        <v>18.215999999999998</v>
      </c>
      <c r="C21" s="46" t="s">
        <v>437</v>
      </c>
      <c r="D21" s="22"/>
      <c r="E21" t="s">
        <v>333</v>
      </c>
      <c r="V21" s="7"/>
      <c r="W21" t="s">
        <v>102</v>
      </c>
    </row>
    <row r="22" spans="1:25">
      <c r="A22" s="3" t="s">
        <v>221</v>
      </c>
      <c r="B22" s="104">
        <f>SUM(B21)</f>
        <v>18.215999999999998</v>
      </c>
      <c r="C22" s="104"/>
      <c r="D22" s="22"/>
      <c r="E22" t="s">
        <v>424</v>
      </c>
      <c r="V22" s="7"/>
      <c r="W22" t="s">
        <v>103</v>
      </c>
    </row>
    <row r="23" spans="1:25">
      <c r="A23" s="3"/>
      <c r="B23" s="104"/>
      <c r="C23" s="104"/>
      <c r="D23" s="22"/>
      <c r="V23" s="7"/>
    </row>
    <row r="24" spans="1:25">
      <c r="A24" s="2" t="s">
        <v>334</v>
      </c>
      <c r="B24" s="46"/>
      <c r="C24" s="46"/>
      <c r="D24" s="22"/>
      <c r="R24" s="9"/>
      <c r="S24" s="9"/>
      <c r="T24" s="9"/>
      <c r="V24" s="7"/>
    </row>
    <row r="25" spans="1:25">
      <c r="A25" s="103" t="s">
        <v>335</v>
      </c>
      <c r="B25" s="46">
        <f>'SA by provi 05-06'!B5*0.55</f>
        <v>14.905000000000001</v>
      </c>
      <c r="C25" s="46" t="s">
        <v>237</v>
      </c>
      <c r="D25" s="44"/>
      <c r="E25" s="150" t="s">
        <v>444</v>
      </c>
      <c r="F25" s="39"/>
      <c r="G25" s="39"/>
      <c r="H25" s="39"/>
      <c r="I25" s="39"/>
      <c r="J25" s="39"/>
      <c r="K25" s="39"/>
      <c r="L25" s="39"/>
      <c r="M25" s="39"/>
      <c r="N25" s="39"/>
      <c r="O25" s="39"/>
      <c r="P25" s="39"/>
      <c r="Q25" s="39"/>
      <c r="R25" s="39"/>
      <c r="S25" s="39"/>
      <c r="T25" s="39"/>
      <c r="V25" s="7"/>
      <c r="W25" s="38" t="s">
        <v>248</v>
      </c>
      <c r="X25" s="38"/>
      <c r="Y25" s="38"/>
    </row>
    <row r="26" spans="1:25">
      <c r="A26" s="103"/>
      <c r="B26" s="46"/>
      <c r="C26" s="46"/>
      <c r="D26" s="44"/>
      <c r="E26" s="150" t="s">
        <v>659</v>
      </c>
      <c r="F26" s="39"/>
      <c r="G26" s="39"/>
      <c r="H26" s="39"/>
      <c r="I26" s="39"/>
      <c r="J26" s="39"/>
      <c r="K26" s="39"/>
      <c r="L26" s="39"/>
      <c r="M26" s="39"/>
      <c r="N26" s="39"/>
      <c r="O26" s="39"/>
      <c r="P26" s="39"/>
      <c r="Q26" s="39"/>
      <c r="R26" s="39"/>
      <c r="S26" s="39"/>
      <c r="T26" s="39"/>
      <c r="V26" s="7"/>
    </row>
    <row r="27" spans="1:25">
      <c r="A27" s="103" t="s">
        <v>12</v>
      </c>
      <c r="B27" s="46">
        <f>0.873*0.55</f>
        <v>0.48015000000000002</v>
      </c>
      <c r="C27" s="46" t="s">
        <v>237</v>
      </c>
      <c r="D27" s="247"/>
      <c r="E27" s="39" t="s">
        <v>656</v>
      </c>
      <c r="F27" s="39"/>
      <c r="G27" s="39"/>
      <c r="H27" s="39"/>
      <c r="I27" s="39"/>
      <c r="J27" s="39"/>
      <c r="K27" s="39"/>
      <c r="L27" s="39"/>
      <c r="M27" s="39"/>
      <c r="N27" s="39"/>
      <c r="O27" s="39"/>
      <c r="P27" s="39"/>
      <c r="Q27" s="39"/>
      <c r="R27" s="39"/>
      <c r="S27" s="39"/>
      <c r="T27" s="39"/>
      <c r="V27" s="7"/>
    </row>
    <row r="28" spans="1:25">
      <c r="A28" s="115" t="s">
        <v>24</v>
      </c>
      <c r="B28" s="104">
        <f>SUM(B25:B27)</f>
        <v>15.385150000000001</v>
      </c>
      <c r="C28" s="104" t="s">
        <v>237</v>
      </c>
      <c r="D28" s="247"/>
      <c r="E28" s="39"/>
      <c r="F28" s="39"/>
      <c r="G28" s="39"/>
      <c r="H28" s="39"/>
      <c r="I28" s="39"/>
      <c r="J28" s="39"/>
      <c r="K28" s="39"/>
      <c r="L28" s="39"/>
      <c r="M28" s="39"/>
      <c r="N28" s="39"/>
      <c r="O28" s="39"/>
      <c r="P28" s="39"/>
      <c r="Q28" s="39"/>
      <c r="R28" s="39"/>
      <c r="S28" s="39"/>
      <c r="T28" s="39"/>
      <c r="V28" s="7"/>
    </row>
    <row r="29" spans="1:25">
      <c r="A29" s="3"/>
      <c r="B29" s="104"/>
      <c r="C29" s="104"/>
      <c r="D29" s="22"/>
      <c r="V29" s="7"/>
    </row>
    <row r="30" spans="1:25">
      <c r="A30" s="2" t="s">
        <v>13</v>
      </c>
      <c r="B30" s="46"/>
      <c r="C30" s="46"/>
      <c r="D30" s="22"/>
      <c r="V30" s="7"/>
    </row>
    <row r="31" spans="1:25">
      <c r="A31" t="s">
        <v>7</v>
      </c>
      <c r="B31" s="46">
        <v>10.6</v>
      </c>
      <c r="C31" s="46"/>
      <c r="D31" s="22">
        <v>2005</v>
      </c>
      <c r="E31" t="s">
        <v>96</v>
      </c>
      <c r="V31" s="7"/>
      <c r="W31" t="s">
        <v>324</v>
      </c>
    </row>
    <row r="32" spans="1:25">
      <c r="A32" t="s">
        <v>8</v>
      </c>
      <c r="B32" s="46"/>
      <c r="C32" s="46"/>
      <c r="D32" s="22"/>
      <c r="E32" t="s">
        <v>70</v>
      </c>
      <c r="V32" s="7"/>
    </row>
    <row r="33" spans="1:25">
      <c r="A33" s="3" t="s">
        <v>57</v>
      </c>
      <c r="B33" s="104">
        <f>SUM(B31:B32)</f>
        <v>10.6</v>
      </c>
      <c r="C33" s="104"/>
      <c r="D33" s="22"/>
      <c r="V33" s="7"/>
    </row>
    <row r="34" spans="1:25">
      <c r="A34" t="s">
        <v>64</v>
      </c>
      <c r="B34" s="46"/>
      <c r="C34" s="46"/>
      <c r="D34" s="22"/>
      <c r="V34" s="7"/>
    </row>
    <row r="35" spans="1:25">
      <c r="A35" t="s">
        <v>9</v>
      </c>
      <c r="B35" s="46">
        <v>1</v>
      </c>
      <c r="C35" s="46"/>
      <c r="D35" s="22">
        <v>2005</v>
      </c>
      <c r="E35" t="s">
        <v>61</v>
      </c>
      <c r="V35" s="7"/>
      <c r="W35" t="s">
        <v>75</v>
      </c>
    </row>
    <row r="36" spans="1:25">
      <c r="A36" t="s">
        <v>10</v>
      </c>
      <c r="B36" s="46">
        <v>11</v>
      </c>
      <c r="C36" s="46"/>
      <c r="D36" s="22"/>
      <c r="V36" s="7"/>
      <c r="W36" t="s">
        <v>429</v>
      </c>
    </row>
    <row r="37" spans="1:25">
      <c r="A37" s="3" t="s">
        <v>24</v>
      </c>
      <c r="B37" s="104">
        <f>SUM(B35:B36)</f>
        <v>12</v>
      </c>
      <c r="C37" s="104"/>
      <c r="D37" s="22"/>
      <c r="V37" s="7"/>
    </row>
    <row r="38" spans="1:25">
      <c r="B38" s="46"/>
      <c r="C38" s="46"/>
      <c r="D38" s="22"/>
    </row>
    <row r="39" spans="1:25" ht="15.75">
      <c r="A39" s="48" t="s">
        <v>23</v>
      </c>
      <c r="B39" s="49">
        <f>SUM(B13+B19+B22+B28+B33+B37)</f>
        <v>97.041149999999988</v>
      </c>
      <c r="C39" s="49" t="s">
        <v>237</v>
      </c>
      <c r="D39" s="39"/>
    </row>
    <row r="40" spans="1:25" ht="15.75">
      <c r="A40" s="48"/>
      <c r="B40" s="48"/>
      <c r="C40" s="48"/>
      <c r="D40" s="39"/>
    </row>
    <row r="41" spans="1:25" ht="15.75">
      <c r="A41" s="106" t="s">
        <v>674</v>
      </c>
      <c r="B41" s="48"/>
      <c r="C41" s="48"/>
      <c r="D41" s="39"/>
    </row>
    <row r="42" spans="1:25">
      <c r="B42" s="39"/>
      <c r="C42" s="39"/>
    </row>
    <row r="43" spans="1:25">
      <c r="B43" s="41" t="s">
        <v>29</v>
      </c>
      <c r="C43" s="41"/>
    </row>
    <row r="44" spans="1:25">
      <c r="B44" s="41" t="s">
        <v>181</v>
      </c>
      <c r="C44" s="41"/>
    </row>
    <row r="45" spans="1:25">
      <c r="B45" s="41" t="s">
        <v>16</v>
      </c>
      <c r="C45" s="41"/>
    </row>
    <row r="46" spans="1:25">
      <c r="A46" s="2" t="s">
        <v>11</v>
      </c>
      <c r="B46" s="106"/>
      <c r="C46" s="106"/>
    </row>
    <row r="47" spans="1:25">
      <c r="B47" s="106"/>
      <c r="C47" s="106"/>
    </row>
    <row r="48" spans="1:25">
      <c r="A48" t="s">
        <v>0</v>
      </c>
      <c r="B48" s="46">
        <f>'CAN Disability details 09-10'!B6*0.004</f>
        <v>2.48</v>
      </c>
      <c r="C48" s="46"/>
      <c r="D48" s="22" t="s">
        <v>217</v>
      </c>
      <c r="E48" t="s">
        <v>354</v>
      </c>
      <c r="W48" s="38" t="s">
        <v>344</v>
      </c>
      <c r="X48" s="38"/>
      <c r="Y48" s="38"/>
    </row>
    <row r="49" spans="1:32">
      <c r="A49" t="s">
        <v>1</v>
      </c>
      <c r="B49" s="46">
        <f>'CAN Disability details 09-10'!B7*0.004</f>
        <v>4</v>
      </c>
      <c r="C49" s="46"/>
      <c r="D49" s="22" t="s">
        <v>217</v>
      </c>
      <c r="E49" t="s">
        <v>218</v>
      </c>
    </row>
    <row r="50" spans="1:32">
      <c r="A50" t="s">
        <v>14</v>
      </c>
      <c r="B50" s="46">
        <f>'CAN Disability details 09-10'!B8*0.004</f>
        <v>0.38800000000000001</v>
      </c>
      <c r="C50" s="46"/>
      <c r="D50" s="22" t="s">
        <v>217</v>
      </c>
      <c r="E50" t="s">
        <v>443</v>
      </c>
    </row>
    <row r="51" spans="1:32">
      <c r="A51" t="s">
        <v>2</v>
      </c>
      <c r="B51" s="46">
        <f>'CAN Disability details 09-10'!B9*0.004</f>
        <v>0.02</v>
      </c>
      <c r="C51" s="46"/>
      <c r="D51" s="22" t="s">
        <v>217</v>
      </c>
    </row>
    <row r="52" spans="1:32">
      <c r="A52" t="s">
        <v>68</v>
      </c>
      <c r="B52" s="46">
        <f>'CAN Disability details 09-10'!B10*0.004</f>
        <v>0</v>
      </c>
      <c r="C52" s="46"/>
      <c r="D52" s="22" t="s">
        <v>217</v>
      </c>
      <c r="E52" s="7"/>
    </row>
    <row r="53" spans="1:32">
      <c r="A53" t="s">
        <v>3</v>
      </c>
      <c r="B53" s="46">
        <f>'CAN Disability details 09-10'!B11*0.004</f>
        <v>0.52</v>
      </c>
      <c r="C53" s="46"/>
      <c r="D53" s="22" t="s">
        <v>217</v>
      </c>
      <c r="E53" s="7"/>
    </row>
    <row r="54" spans="1:32">
      <c r="A54" t="s">
        <v>15</v>
      </c>
      <c r="B54" s="46">
        <f>'CAN Disability details 09-10'!B12*0.004</f>
        <v>0.78600000000000003</v>
      </c>
      <c r="C54" s="46"/>
      <c r="D54" s="22" t="s">
        <v>217</v>
      </c>
      <c r="E54" s="7"/>
    </row>
    <row r="55" spans="1:32">
      <c r="A55" s="3" t="s">
        <v>24</v>
      </c>
      <c r="B55" s="104">
        <f>SUM(B48:B54)</f>
        <v>8.1939999999999991</v>
      </c>
      <c r="C55" s="104"/>
      <c r="E55" s="7"/>
    </row>
    <row r="56" spans="1:32">
      <c r="B56" s="46"/>
      <c r="C56" s="46"/>
    </row>
    <row r="57" spans="1:32">
      <c r="A57" s="2" t="s">
        <v>4</v>
      </c>
      <c r="B57" s="46"/>
      <c r="C57" s="46"/>
    </row>
    <row r="58" spans="1:32">
      <c r="A58" t="s">
        <v>5</v>
      </c>
      <c r="B58" s="46">
        <v>29.3</v>
      </c>
      <c r="C58" s="46"/>
      <c r="E58" t="s">
        <v>325</v>
      </c>
    </row>
    <row r="59" spans="1:32">
      <c r="A59" t="s">
        <v>69</v>
      </c>
      <c r="B59" s="105"/>
      <c r="C59" s="105"/>
    </row>
    <row r="60" spans="1:32">
      <c r="A60" t="s">
        <v>6</v>
      </c>
      <c r="B60" s="114">
        <v>11.6</v>
      </c>
      <c r="C60" s="114"/>
      <c r="D60" s="103"/>
      <c r="E60" s="103" t="s">
        <v>394</v>
      </c>
      <c r="F60" s="103"/>
      <c r="G60" s="103"/>
      <c r="H60" s="103"/>
      <c r="I60" s="103"/>
      <c r="J60" s="103"/>
      <c r="K60" s="103"/>
      <c r="L60" s="103"/>
      <c r="M60" s="103"/>
      <c r="N60" s="103"/>
      <c r="O60" s="103"/>
      <c r="P60" s="103"/>
      <c r="Q60" s="103"/>
      <c r="R60" s="103"/>
      <c r="S60" s="103"/>
      <c r="T60" s="103"/>
      <c r="U60" s="103"/>
      <c r="V60" s="111"/>
      <c r="W60" s="110" t="s">
        <v>395</v>
      </c>
      <c r="X60" s="110"/>
      <c r="Y60" s="110"/>
      <c r="Z60" s="103"/>
      <c r="AA60" s="103"/>
      <c r="AB60" s="103"/>
      <c r="AC60" s="103"/>
      <c r="AD60" s="103"/>
      <c r="AE60" s="103"/>
      <c r="AF60" s="103"/>
    </row>
    <row r="61" spans="1:32">
      <c r="A61" s="3" t="s">
        <v>24</v>
      </c>
      <c r="B61" s="112">
        <f>SUM(B58:B60)</f>
        <v>40.9</v>
      </c>
      <c r="C61" s="112"/>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row>
    <row r="62" spans="1:32">
      <c r="B62" s="46"/>
      <c r="C62" s="46"/>
    </row>
    <row r="63" spans="1:32">
      <c r="A63" t="s">
        <v>478</v>
      </c>
      <c r="B63" s="104">
        <f>'CAN Disability details 09-10'!B22*0.011</f>
        <v>22.3322</v>
      </c>
      <c r="C63" s="104" t="s">
        <v>437</v>
      </c>
      <c r="E63" t="s">
        <v>457</v>
      </c>
    </row>
    <row r="64" spans="1:32">
      <c r="A64" s="3"/>
      <c r="B64" s="104"/>
      <c r="C64" s="104"/>
      <c r="E64" t="s">
        <v>465</v>
      </c>
    </row>
    <row r="65" spans="1:25">
      <c r="A65" s="2" t="s">
        <v>334</v>
      </c>
      <c r="B65" s="46"/>
      <c r="C65" s="46"/>
    </row>
    <row r="66" spans="1:25">
      <c r="A66" s="103" t="s">
        <v>335</v>
      </c>
      <c r="B66" s="46">
        <f>'SA $ by prov 09-10'!B5*0.55</f>
        <v>16.060000000000002</v>
      </c>
      <c r="C66" s="46" t="s">
        <v>237</v>
      </c>
      <c r="E66" s="151" t="s">
        <v>445</v>
      </c>
    </row>
    <row r="67" spans="1:25">
      <c r="A67" s="103"/>
      <c r="B67" s="46"/>
      <c r="C67" s="46"/>
      <c r="E67" s="151" t="s">
        <v>660</v>
      </c>
      <c r="H67" s="39"/>
      <c r="I67" s="39"/>
      <c r="J67" s="39"/>
      <c r="K67" s="39"/>
      <c r="L67" s="39"/>
      <c r="M67" s="39"/>
      <c r="N67" s="39"/>
      <c r="O67" s="39"/>
      <c r="P67" s="39"/>
      <c r="Q67" s="39"/>
      <c r="R67" s="39"/>
      <c r="S67" s="39"/>
      <c r="T67" s="39"/>
      <c r="W67" s="103" t="s">
        <v>289</v>
      </c>
      <c r="X67" s="103"/>
      <c r="Y67" s="103"/>
    </row>
    <row r="68" spans="1:25">
      <c r="A68" s="103" t="s">
        <v>12</v>
      </c>
      <c r="B68" s="46">
        <f>0.958*0.55</f>
        <v>0.52690000000000003</v>
      </c>
      <c r="C68" s="46" t="s">
        <v>237</v>
      </c>
      <c r="E68" t="s">
        <v>656</v>
      </c>
      <c r="H68" s="39"/>
      <c r="I68" s="39"/>
      <c r="J68" s="39"/>
      <c r="K68" s="39"/>
      <c r="L68" s="39"/>
      <c r="M68" s="39"/>
      <c r="N68" s="39"/>
      <c r="O68" s="39"/>
      <c r="P68" s="39"/>
      <c r="Q68" s="39"/>
      <c r="R68" s="39"/>
      <c r="S68" s="39"/>
      <c r="T68" s="39"/>
    </row>
    <row r="69" spans="1:25">
      <c r="A69" s="115" t="s">
        <v>24</v>
      </c>
      <c r="B69" s="104">
        <f>SUM(B66:B68)</f>
        <v>16.586900000000004</v>
      </c>
      <c r="C69" s="104" t="s">
        <v>237</v>
      </c>
    </row>
    <row r="70" spans="1:25">
      <c r="A70" s="3"/>
      <c r="B70" s="104"/>
      <c r="C70" s="104"/>
    </row>
    <row r="71" spans="1:25">
      <c r="A71" s="2" t="s">
        <v>13</v>
      </c>
      <c r="B71" s="46"/>
      <c r="C71" s="46"/>
    </row>
    <row r="72" spans="1:25">
      <c r="A72" t="s">
        <v>7</v>
      </c>
      <c r="B72" s="46">
        <v>11.7</v>
      </c>
      <c r="C72" s="46"/>
      <c r="E72" t="s">
        <v>215</v>
      </c>
    </row>
    <row r="73" spans="1:25">
      <c r="A73" t="s">
        <v>8</v>
      </c>
      <c r="B73" s="46"/>
      <c r="C73" s="46"/>
      <c r="E73" t="s">
        <v>167</v>
      </c>
    </row>
    <row r="74" spans="1:25">
      <c r="A74" s="3" t="s">
        <v>57</v>
      </c>
      <c r="B74" s="104">
        <f>SUM(B72:B73)</f>
        <v>11.7</v>
      </c>
      <c r="C74" s="104"/>
    </row>
    <row r="75" spans="1:25">
      <c r="A75" s="3"/>
      <c r="B75" s="104"/>
      <c r="C75" s="104"/>
    </row>
    <row r="76" spans="1:25">
      <c r="A76" t="s">
        <v>64</v>
      </c>
      <c r="B76" s="46"/>
      <c r="C76" s="46"/>
    </row>
    <row r="77" spans="1:25">
      <c r="A77" t="s">
        <v>9</v>
      </c>
      <c r="B77" s="46">
        <v>2</v>
      </c>
      <c r="C77" s="46"/>
      <c r="E77" t="s">
        <v>207</v>
      </c>
    </row>
    <row r="78" spans="1:25">
      <c r="A78" t="s">
        <v>10</v>
      </c>
      <c r="B78" s="46">
        <v>15</v>
      </c>
      <c r="C78" s="46"/>
      <c r="E78" t="s">
        <v>207</v>
      </c>
    </row>
    <row r="79" spans="1:25">
      <c r="A79" s="3" t="s">
        <v>24</v>
      </c>
      <c r="B79" s="104">
        <f>SUM(B77:B78)</f>
        <v>17</v>
      </c>
      <c r="C79" s="104"/>
      <c r="E79" t="s">
        <v>429</v>
      </c>
    </row>
    <row r="80" spans="1:25">
      <c r="B80" s="46"/>
      <c r="C80" s="46"/>
    </row>
    <row r="81" spans="1:25" ht="15.75">
      <c r="A81" s="48" t="s">
        <v>23</v>
      </c>
      <c r="B81" s="49">
        <f>SUM(B55+B61+B63+B68+B66+B74+B79)</f>
        <v>116.7131</v>
      </c>
      <c r="C81" s="49" t="s">
        <v>237</v>
      </c>
      <c r="D81" s="39"/>
    </row>
    <row r="82" spans="1:25" ht="15.75">
      <c r="A82" s="48"/>
      <c r="B82" s="49"/>
      <c r="C82" s="49"/>
      <c r="D82" s="39"/>
    </row>
    <row r="83" spans="1:25" ht="15.75">
      <c r="A83" s="106" t="s">
        <v>674</v>
      </c>
      <c r="B83" s="49"/>
      <c r="C83" s="49"/>
      <c r="D83" s="39"/>
    </row>
    <row r="85" spans="1:25">
      <c r="B85" s="41" t="s">
        <v>29</v>
      </c>
      <c r="C85" s="41"/>
    </row>
    <row r="86" spans="1:25">
      <c r="B86" s="41" t="s">
        <v>514</v>
      </c>
      <c r="C86" s="41"/>
    </row>
    <row r="87" spans="1:25">
      <c r="B87" s="41" t="s">
        <v>16</v>
      </c>
      <c r="C87" s="41"/>
    </row>
    <row r="88" spans="1:25">
      <c r="A88" s="2" t="s">
        <v>11</v>
      </c>
      <c r="B88" s="106"/>
      <c r="C88" s="106"/>
    </row>
    <row r="89" spans="1:25">
      <c r="B89" s="106"/>
      <c r="C89" s="106"/>
    </row>
    <row r="90" spans="1:25">
      <c r="A90" t="s">
        <v>0</v>
      </c>
      <c r="B90" s="46">
        <f>'CAN Disability details 10-11'!B6*0.004</f>
        <v>2.6</v>
      </c>
      <c r="C90" s="46"/>
      <c r="D90" s="22" t="s">
        <v>217</v>
      </c>
      <c r="E90" s="52" t="s">
        <v>811</v>
      </c>
      <c r="R90" s="145"/>
      <c r="S90" s="145"/>
      <c r="T90" s="145"/>
      <c r="U90" s="145"/>
      <c r="V90" s="145" t="s">
        <v>810</v>
      </c>
      <c r="X90" s="38"/>
      <c r="Y90" s="38"/>
    </row>
    <row r="91" spans="1:25">
      <c r="A91" t="s">
        <v>1</v>
      </c>
      <c r="B91" s="143">
        <f>'CAN Disability details 10-11'!B7*0.004</f>
        <v>4.32</v>
      </c>
      <c r="C91" s="46"/>
      <c r="D91" s="22" t="s">
        <v>217</v>
      </c>
      <c r="E91" s="52" t="s">
        <v>757</v>
      </c>
      <c r="I91" t="s">
        <v>93</v>
      </c>
      <c r="R91" s="39"/>
      <c r="S91" s="39"/>
      <c r="T91" s="39"/>
      <c r="U91" s="39"/>
      <c r="V91" s="39" t="s">
        <v>752</v>
      </c>
    </row>
    <row r="92" spans="1:25">
      <c r="A92" t="s">
        <v>14</v>
      </c>
      <c r="B92" s="46">
        <f>'CAN Disability details 10-11'!B8*0.004</f>
        <v>0.4</v>
      </c>
      <c r="C92" s="46"/>
      <c r="D92" s="22" t="s">
        <v>217</v>
      </c>
      <c r="E92" t="s">
        <v>443</v>
      </c>
    </row>
    <row r="93" spans="1:25">
      <c r="A93" t="s">
        <v>2</v>
      </c>
      <c r="B93" s="46">
        <f>'CAN Disability details 10-11'!B9*0.004</f>
        <v>0.02</v>
      </c>
      <c r="C93" s="46"/>
      <c r="D93" s="22" t="s">
        <v>217</v>
      </c>
    </row>
    <row r="94" spans="1:25">
      <c r="A94" t="s">
        <v>68</v>
      </c>
      <c r="B94" s="46">
        <f>'CAN Disability details 10-11'!B10*0.004</f>
        <v>0</v>
      </c>
      <c r="C94" s="46"/>
      <c r="D94" s="22" t="s">
        <v>217</v>
      </c>
      <c r="E94" s="7"/>
    </row>
    <row r="95" spans="1:25">
      <c r="A95" t="s">
        <v>3</v>
      </c>
      <c r="B95" s="46">
        <f>'CAN Disability details 10-11'!B11*0.004</f>
        <v>0.54</v>
      </c>
      <c r="C95" s="46"/>
      <c r="D95" s="22" t="s">
        <v>217</v>
      </c>
      <c r="E95" s="7"/>
    </row>
    <row r="96" spans="1:25">
      <c r="A96" t="s">
        <v>15</v>
      </c>
      <c r="B96" s="46">
        <f>'CAN Disability details 10-11'!B12*0.004</f>
        <v>0.88160000000000005</v>
      </c>
      <c r="C96" s="46"/>
      <c r="D96" s="22" t="s">
        <v>217</v>
      </c>
      <c r="E96" s="7" t="s">
        <v>581</v>
      </c>
      <c r="V96" s="38" t="s">
        <v>579</v>
      </c>
      <c r="X96" s="38"/>
      <c r="Y96" s="38"/>
    </row>
    <row r="97" spans="1:25">
      <c r="A97" s="3" t="s">
        <v>24</v>
      </c>
      <c r="B97" s="138">
        <f>SUM(B90:B96)</f>
        <v>8.7615999999999996</v>
      </c>
      <c r="C97" s="104"/>
      <c r="E97" s="7"/>
    </row>
    <row r="98" spans="1:25">
      <c r="B98" s="46"/>
      <c r="C98" s="46"/>
    </row>
    <row r="99" spans="1:25">
      <c r="A99" s="2" t="s">
        <v>4</v>
      </c>
      <c r="B99" s="46"/>
      <c r="C99" s="46"/>
    </row>
    <row r="100" spans="1:25">
      <c r="A100" t="s">
        <v>5</v>
      </c>
      <c r="B100" s="46">
        <v>30.6</v>
      </c>
      <c r="C100" s="46"/>
      <c r="E100" t="s">
        <v>545</v>
      </c>
      <c r="V100" t="s">
        <v>366</v>
      </c>
    </row>
    <row r="101" spans="1:25">
      <c r="A101" t="s">
        <v>69</v>
      </c>
      <c r="B101" s="105"/>
      <c r="C101" s="105"/>
    </row>
    <row r="102" spans="1:25">
      <c r="A102" t="s">
        <v>6</v>
      </c>
      <c r="B102" s="114">
        <v>12</v>
      </c>
      <c r="C102" s="114"/>
      <c r="D102" s="103"/>
      <c r="E102" s="103" t="s">
        <v>394</v>
      </c>
      <c r="F102" s="103"/>
      <c r="G102" s="103"/>
      <c r="H102" s="103"/>
      <c r="I102" s="103"/>
      <c r="J102" s="103"/>
      <c r="K102" s="103"/>
      <c r="L102" s="103"/>
      <c r="M102" s="103"/>
      <c r="N102" s="103"/>
      <c r="O102" s="103"/>
      <c r="P102" s="103"/>
      <c r="Q102" s="103"/>
      <c r="R102" s="103"/>
      <c r="S102" s="103"/>
      <c r="T102" s="103"/>
      <c r="U102" s="111"/>
      <c r="V102" s="110" t="s">
        <v>395</v>
      </c>
      <c r="X102" s="110"/>
      <c r="Y102" s="110"/>
    </row>
    <row r="103" spans="1:25">
      <c r="A103" s="3" t="s">
        <v>24</v>
      </c>
      <c r="B103" s="112">
        <f>SUM(B100:B102)</f>
        <v>42.6</v>
      </c>
      <c r="C103" s="112"/>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row>
    <row r="104" spans="1:25">
      <c r="B104" s="46"/>
      <c r="C104" s="46"/>
    </row>
    <row r="105" spans="1:25">
      <c r="A105" t="s">
        <v>478</v>
      </c>
      <c r="B105" s="104">
        <f>18.3+4.3</f>
        <v>22.6</v>
      </c>
      <c r="C105" s="104" t="s">
        <v>237</v>
      </c>
      <c r="E105" t="s">
        <v>98</v>
      </c>
      <c r="V105" t="s">
        <v>754</v>
      </c>
    </row>
    <row r="106" spans="1:25">
      <c r="A106" s="3"/>
      <c r="B106" s="104"/>
      <c r="C106" s="104"/>
    </row>
    <row r="107" spans="1:25">
      <c r="A107" s="2" t="s">
        <v>334</v>
      </c>
      <c r="B107" s="46"/>
      <c r="C107" s="46"/>
    </row>
    <row r="108" spans="1:25">
      <c r="A108" s="103" t="s">
        <v>335</v>
      </c>
      <c r="B108" s="46">
        <f>'SA $ by prov 10-11'!B5*0.55</f>
        <v>16.940000000000001</v>
      </c>
      <c r="C108" s="46" t="s">
        <v>237</v>
      </c>
      <c r="E108" s="151" t="s">
        <v>619</v>
      </c>
    </row>
    <row r="109" spans="1:25">
      <c r="A109" s="103"/>
      <c r="B109" s="46"/>
      <c r="C109" s="46"/>
      <c r="E109" s="151" t="s">
        <v>661</v>
      </c>
      <c r="R109" s="39"/>
      <c r="S109" s="39"/>
      <c r="T109" s="39"/>
      <c r="V109" s="103" t="s">
        <v>289</v>
      </c>
      <c r="X109" s="103"/>
      <c r="Y109" s="103"/>
    </row>
    <row r="110" spans="1:25">
      <c r="A110" s="103" t="s">
        <v>12</v>
      </c>
      <c r="B110" s="46">
        <f>(72.6*0.013)*0.55</f>
        <v>0.51908999999999994</v>
      </c>
      <c r="C110" s="46" t="s">
        <v>437</v>
      </c>
      <c r="E110" s="218" t="s">
        <v>795</v>
      </c>
      <c r="V110" s="52" t="s">
        <v>792</v>
      </c>
    </row>
    <row r="111" spans="1:25">
      <c r="A111" s="115" t="s">
        <v>24</v>
      </c>
      <c r="B111" s="104">
        <f>SUM(B108:B110)</f>
        <v>17.45909</v>
      </c>
      <c r="C111" s="104" t="s">
        <v>237</v>
      </c>
    </row>
    <row r="112" spans="1:25">
      <c r="A112" s="3"/>
      <c r="B112" s="104"/>
      <c r="C112" s="104"/>
    </row>
    <row r="113" spans="1:22">
      <c r="A113" s="2" t="s">
        <v>13</v>
      </c>
      <c r="B113" s="46"/>
      <c r="C113" s="46"/>
    </row>
    <row r="114" spans="1:22">
      <c r="A114" t="s">
        <v>7</v>
      </c>
      <c r="B114" s="46">
        <f>13.4</f>
        <v>13.4</v>
      </c>
      <c r="C114" s="46"/>
      <c r="E114" t="s">
        <v>547</v>
      </c>
      <c r="V114" t="s">
        <v>205</v>
      </c>
    </row>
    <row r="115" spans="1:22">
      <c r="A115" t="s">
        <v>8</v>
      </c>
      <c r="B115" s="46"/>
      <c r="C115" s="46"/>
      <c r="E115" t="s">
        <v>167</v>
      </c>
    </row>
    <row r="116" spans="1:22">
      <c r="A116" s="3" t="s">
        <v>57</v>
      </c>
      <c r="B116" s="104">
        <f>SUM(B114:B115)</f>
        <v>13.4</v>
      </c>
      <c r="C116" s="104"/>
    </row>
    <row r="117" spans="1:22">
      <c r="A117" s="3"/>
      <c r="B117" s="104"/>
      <c r="C117" s="104"/>
    </row>
    <row r="118" spans="1:22">
      <c r="A118" t="s">
        <v>64</v>
      </c>
      <c r="B118" s="46"/>
      <c r="C118" s="46"/>
    </row>
    <row r="119" spans="1:22">
      <c r="A119" t="s">
        <v>9</v>
      </c>
      <c r="B119" s="46">
        <v>2</v>
      </c>
      <c r="C119" s="46"/>
      <c r="E119" t="s">
        <v>548</v>
      </c>
      <c r="V119" t="s">
        <v>75</v>
      </c>
    </row>
    <row r="120" spans="1:22">
      <c r="A120" t="s">
        <v>10</v>
      </c>
      <c r="B120" s="46">
        <v>16</v>
      </c>
      <c r="C120" s="46"/>
      <c r="E120" t="s">
        <v>548</v>
      </c>
    </row>
    <row r="121" spans="1:22">
      <c r="A121" s="3" t="s">
        <v>24</v>
      </c>
      <c r="B121" s="104">
        <f>SUM(B119:B120)</f>
        <v>18</v>
      </c>
      <c r="C121" s="104"/>
      <c r="E121" t="s">
        <v>429</v>
      </c>
    </row>
    <row r="122" spans="1:22">
      <c r="B122" s="46"/>
      <c r="C122" s="46"/>
    </row>
    <row r="123" spans="1:22" ht="15.75">
      <c r="A123" s="48" t="s">
        <v>23</v>
      </c>
      <c r="B123" s="139">
        <f>SUM(B97+B103+B105+B110+B108+B116+B121)</f>
        <v>122.82069000000001</v>
      </c>
      <c r="C123" s="49" t="s">
        <v>237</v>
      </c>
      <c r="D123" s="39"/>
    </row>
    <row r="124" spans="1:22">
      <c r="A124" s="39"/>
      <c r="B124" s="39"/>
      <c r="C124" s="39"/>
      <c r="D124" s="39"/>
    </row>
    <row r="125" spans="1:22">
      <c r="A125" s="106" t="s">
        <v>674</v>
      </c>
      <c r="B125" s="39"/>
      <c r="C125" s="39"/>
      <c r="D125" s="39"/>
    </row>
    <row r="127" spans="1:22">
      <c r="B127" s="41" t="s">
        <v>29</v>
      </c>
      <c r="C127" s="41"/>
    </row>
    <row r="128" spans="1:22">
      <c r="B128" s="41" t="s">
        <v>689</v>
      </c>
      <c r="C128" s="41"/>
    </row>
    <row r="129" spans="1:22">
      <c r="B129" s="41" t="s">
        <v>16</v>
      </c>
      <c r="C129" s="41"/>
    </row>
    <row r="130" spans="1:22">
      <c r="A130" s="2" t="s">
        <v>11</v>
      </c>
      <c r="B130" s="106"/>
      <c r="C130" s="106"/>
    </row>
    <row r="131" spans="1:22">
      <c r="B131" s="106"/>
      <c r="C131" s="106"/>
    </row>
    <row r="132" spans="1:22">
      <c r="A132" t="s">
        <v>0</v>
      </c>
      <c r="B132" s="46">
        <f>'CAN Disability details 11-12'!B6*0.004</f>
        <v>2.7</v>
      </c>
      <c r="C132" s="46"/>
      <c r="D132" s="257" t="s">
        <v>217</v>
      </c>
      <c r="E132" s="52" t="s">
        <v>811</v>
      </c>
      <c r="R132" s="145"/>
      <c r="S132" s="145"/>
      <c r="T132" s="145"/>
      <c r="U132" s="145"/>
      <c r="V132" s="145" t="s">
        <v>810</v>
      </c>
    </row>
    <row r="133" spans="1:22">
      <c r="A133" t="s">
        <v>1</v>
      </c>
      <c r="B133" s="143">
        <f>'CAN Disability details 11-12'!B7*0.004</f>
        <v>4.54</v>
      </c>
      <c r="C133" s="46"/>
      <c r="D133" s="257" t="s">
        <v>217</v>
      </c>
      <c r="E133" s="52" t="s">
        <v>757</v>
      </c>
      <c r="I133" t="s">
        <v>93</v>
      </c>
      <c r="R133" s="39"/>
      <c r="S133" s="39"/>
      <c r="T133" s="39"/>
      <c r="U133" s="39"/>
      <c r="V133" s="39" t="s">
        <v>752</v>
      </c>
    </row>
    <row r="134" spans="1:22">
      <c r="A134" t="s">
        <v>14</v>
      </c>
      <c r="B134" s="46">
        <f>'CAN Disability details 11-12'!B8*0.004</f>
        <v>0.42</v>
      </c>
      <c r="C134" s="46"/>
      <c r="D134" s="257" t="s">
        <v>217</v>
      </c>
      <c r="E134" s="52" t="s">
        <v>761</v>
      </c>
      <c r="R134" s="39"/>
      <c r="S134" s="39"/>
      <c r="T134" s="39"/>
      <c r="U134" s="39"/>
      <c r="V134" s="39"/>
    </row>
    <row r="135" spans="1:22">
      <c r="A135" t="s">
        <v>2</v>
      </c>
      <c r="B135" s="46">
        <f>'CAN Disability details 11-12'!B9*0.004</f>
        <v>0.02</v>
      </c>
      <c r="C135" s="46"/>
      <c r="D135" s="257" t="s">
        <v>217</v>
      </c>
      <c r="R135" s="39"/>
      <c r="S135" s="39"/>
      <c r="T135" s="39"/>
      <c r="U135" s="39"/>
      <c r="V135" s="39"/>
    </row>
    <row r="136" spans="1:22">
      <c r="A136" t="s">
        <v>68</v>
      </c>
      <c r="B136" s="46">
        <f>'CAN Disability details 11-12'!B10*0.004</f>
        <v>0</v>
      </c>
      <c r="C136" s="46"/>
      <c r="D136" s="257" t="s">
        <v>217</v>
      </c>
      <c r="R136" s="39"/>
      <c r="S136" s="39"/>
      <c r="T136" s="39"/>
      <c r="U136" s="39"/>
      <c r="V136" s="39"/>
    </row>
    <row r="137" spans="1:22">
      <c r="A137" t="s">
        <v>3</v>
      </c>
      <c r="B137" s="143">
        <f>'CAN Disability details 11-12'!B11*0.004</f>
        <v>0.54</v>
      </c>
      <c r="C137" s="46"/>
      <c r="D137" s="257" t="s">
        <v>217</v>
      </c>
      <c r="R137" s="39"/>
      <c r="S137" s="39"/>
      <c r="T137" s="39"/>
      <c r="U137" s="39"/>
      <c r="V137" s="39"/>
    </row>
    <row r="138" spans="1:22">
      <c r="A138" t="s">
        <v>15</v>
      </c>
      <c r="B138" s="46">
        <f>'CAN Disability details 11-12'!B12*0.004</f>
        <v>1.0138399999999999</v>
      </c>
      <c r="C138" s="46"/>
      <c r="D138" s="257" t="s">
        <v>217</v>
      </c>
      <c r="E138" s="248" t="s">
        <v>812</v>
      </c>
      <c r="F138" s="249"/>
      <c r="G138" s="249"/>
      <c r="H138" s="249"/>
      <c r="I138" s="30"/>
      <c r="J138" s="30"/>
      <c r="K138" s="30"/>
      <c r="L138" s="30"/>
      <c r="M138" s="30"/>
      <c r="N138" s="30"/>
      <c r="O138" s="30"/>
      <c r="P138" s="30"/>
      <c r="Q138" s="171"/>
      <c r="R138" s="145"/>
      <c r="S138" s="145"/>
      <c r="T138" s="145"/>
      <c r="U138" s="145"/>
      <c r="V138" s="145"/>
    </row>
    <row r="139" spans="1:22">
      <c r="A139" s="3" t="s">
        <v>24</v>
      </c>
      <c r="B139" s="138">
        <f>SUM(B132:B138)</f>
        <v>9.2338399999999989</v>
      </c>
      <c r="C139" s="104"/>
      <c r="E139" s="6"/>
      <c r="Q139" s="111"/>
      <c r="R139" s="39"/>
      <c r="S139" s="39"/>
      <c r="T139" s="39"/>
      <c r="U139" s="39"/>
      <c r="V139" s="39"/>
    </row>
    <row r="140" spans="1:22">
      <c r="B140" s="46"/>
      <c r="C140" s="46"/>
      <c r="Q140" s="29"/>
      <c r="R140" s="39"/>
      <c r="S140" s="39"/>
      <c r="T140" s="39"/>
      <c r="U140" s="39"/>
      <c r="V140" s="39"/>
    </row>
    <row r="141" spans="1:22">
      <c r="A141" s="2" t="s">
        <v>4</v>
      </c>
      <c r="B141" s="46"/>
      <c r="C141" s="46"/>
      <c r="Q141" s="29"/>
      <c r="R141" s="39"/>
      <c r="S141" s="39"/>
      <c r="T141" s="39"/>
      <c r="U141" s="39"/>
      <c r="V141" s="39"/>
    </row>
    <row r="142" spans="1:22">
      <c r="A142" t="s">
        <v>5</v>
      </c>
      <c r="B142" s="46">
        <v>32.799999999999997</v>
      </c>
      <c r="C142" s="46"/>
      <c r="E142" s="52" t="s">
        <v>747</v>
      </c>
      <c r="F142" s="30"/>
      <c r="G142" s="30"/>
      <c r="H142" s="30"/>
      <c r="I142" s="30"/>
      <c r="J142" s="30"/>
      <c r="K142" s="30"/>
      <c r="L142" s="30"/>
      <c r="M142" s="30"/>
      <c r="N142" s="30"/>
      <c r="O142" s="30"/>
      <c r="P142" s="30"/>
      <c r="Q142" s="172"/>
      <c r="R142" s="39"/>
      <c r="S142" s="39"/>
      <c r="T142" s="39"/>
      <c r="U142" s="39"/>
      <c r="V142" s="39" t="s">
        <v>693</v>
      </c>
    </row>
    <row r="143" spans="1:22">
      <c r="A143" t="s">
        <v>69</v>
      </c>
      <c r="B143" s="105"/>
      <c r="C143" s="105"/>
      <c r="E143" s="321" t="s">
        <v>748</v>
      </c>
      <c r="F143" s="321"/>
      <c r="G143" s="321"/>
      <c r="H143" s="321"/>
      <c r="I143" s="321"/>
      <c r="J143" s="321"/>
      <c r="K143" s="321"/>
      <c r="L143" s="321"/>
      <c r="M143" s="321"/>
      <c r="N143" s="321"/>
      <c r="O143" s="321"/>
      <c r="P143" s="321"/>
      <c r="Q143" s="172"/>
      <c r="R143" s="39"/>
      <c r="S143" s="39"/>
      <c r="T143" s="39"/>
      <c r="U143" s="39"/>
      <c r="V143" s="39" t="s">
        <v>693</v>
      </c>
    </row>
    <row r="144" spans="1:22">
      <c r="A144" t="s">
        <v>6</v>
      </c>
      <c r="B144" s="114">
        <v>14</v>
      </c>
      <c r="C144" s="114"/>
      <c r="D144" s="103"/>
      <c r="E144" s="120" t="s">
        <v>694</v>
      </c>
      <c r="F144" s="103"/>
      <c r="G144" s="103"/>
      <c r="H144" s="103"/>
      <c r="I144" s="103"/>
      <c r="J144" s="103"/>
      <c r="K144" s="103"/>
      <c r="L144" s="103"/>
      <c r="M144" s="103"/>
      <c r="N144" s="103"/>
      <c r="O144" s="103"/>
      <c r="P144" s="103"/>
      <c r="Q144" s="111"/>
      <c r="R144" s="145"/>
      <c r="S144" s="145"/>
      <c r="T144" s="145"/>
      <c r="U144" s="145"/>
      <c r="V144" s="145" t="s">
        <v>519</v>
      </c>
    </row>
    <row r="145" spans="1:22">
      <c r="A145" s="3" t="s">
        <v>24</v>
      </c>
      <c r="B145" s="112">
        <f>SUM(B142:B144)</f>
        <v>46.8</v>
      </c>
      <c r="C145" s="112"/>
      <c r="D145" s="103"/>
      <c r="E145" s="103"/>
      <c r="F145" s="103"/>
      <c r="G145" s="103"/>
      <c r="H145" s="103"/>
      <c r="I145" s="103"/>
      <c r="J145" s="103"/>
      <c r="K145" s="103"/>
      <c r="L145" s="103"/>
      <c r="M145" s="103"/>
      <c r="N145" s="103"/>
      <c r="O145" s="103"/>
      <c r="P145" s="103"/>
      <c r="Q145" s="103"/>
      <c r="R145" s="103"/>
      <c r="S145" s="103"/>
      <c r="T145" s="103"/>
      <c r="U145" s="103"/>
    </row>
    <row r="146" spans="1:22">
      <c r="B146" s="46"/>
      <c r="C146" s="46"/>
    </row>
    <row r="147" spans="1:22">
      <c r="A147" t="s">
        <v>478</v>
      </c>
      <c r="B147" s="104">
        <f>17.9+3.3</f>
        <v>21.2</v>
      </c>
      <c r="C147" s="104"/>
      <c r="E147" t="s">
        <v>98</v>
      </c>
      <c r="V147" t="s">
        <v>754</v>
      </c>
    </row>
    <row r="148" spans="1:22">
      <c r="A148" s="3"/>
      <c r="B148" s="104"/>
      <c r="C148" s="104"/>
    </row>
    <row r="149" spans="1:22">
      <c r="A149" s="2" t="s">
        <v>334</v>
      </c>
      <c r="B149" s="46"/>
      <c r="C149" s="46"/>
    </row>
    <row r="150" spans="1:22">
      <c r="A150" s="103" t="s">
        <v>335</v>
      </c>
      <c r="B150" s="46">
        <f>'SA $ by prov 11-12'!B5*0.55</f>
        <v>18.810000000000002</v>
      </c>
      <c r="C150" s="46" t="s">
        <v>437</v>
      </c>
      <c r="E150" s="151" t="s">
        <v>619</v>
      </c>
      <c r="V150" t="s">
        <v>722</v>
      </c>
    </row>
    <row r="151" spans="1:22">
      <c r="A151" s="103"/>
      <c r="B151" s="46"/>
      <c r="C151" s="46"/>
      <c r="E151" s="151" t="s">
        <v>661</v>
      </c>
      <c r="R151" s="39"/>
      <c r="S151" s="39"/>
      <c r="T151" s="39"/>
    </row>
    <row r="152" spans="1:22">
      <c r="A152" s="103" t="s">
        <v>12</v>
      </c>
      <c r="B152" s="46">
        <f>(72*0.013)*0.55</f>
        <v>0.51480000000000004</v>
      </c>
      <c r="C152" s="46" t="s">
        <v>437</v>
      </c>
      <c r="E152" s="218" t="s">
        <v>795</v>
      </c>
      <c r="V152" s="52" t="s">
        <v>792</v>
      </c>
    </row>
    <row r="153" spans="1:22">
      <c r="A153" s="115" t="s">
        <v>24</v>
      </c>
      <c r="B153" s="104">
        <f>SUM(B150:B152)</f>
        <v>19.324800000000003</v>
      </c>
      <c r="C153" s="104" t="s">
        <v>437</v>
      </c>
    </row>
    <row r="154" spans="1:22">
      <c r="A154" s="3"/>
      <c r="B154" s="104"/>
      <c r="C154" s="104"/>
    </row>
    <row r="155" spans="1:22">
      <c r="A155" s="2" t="s">
        <v>13</v>
      </c>
      <c r="B155" s="46"/>
      <c r="C155" s="46"/>
    </row>
    <row r="156" spans="1:22">
      <c r="A156" t="s">
        <v>7</v>
      </c>
      <c r="B156" s="46">
        <v>13.7</v>
      </c>
      <c r="C156" s="46"/>
      <c r="E156" t="s">
        <v>547</v>
      </c>
      <c r="V156" s="145" t="s">
        <v>205</v>
      </c>
    </row>
    <row r="157" spans="1:22">
      <c r="A157" t="s">
        <v>8</v>
      </c>
      <c r="B157" s="46"/>
      <c r="C157" s="46"/>
      <c r="E157" t="s">
        <v>167</v>
      </c>
      <c r="V157" s="39" t="s">
        <v>206</v>
      </c>
    </row>
    <row r="158" spans="1:22">
      <c r="A158" s="3" t="s">
        <v>57</v>
      </c>
      <c r="B158" s="104">
        <f>SUM(B156:B157)</f>
        <v>13.7</v>
      </c>
      <c r="C158" s="104"/>
    </row>
    <row r="159" spans="1:22">
      <c r="A159" s="3"/>
      <c r="B159" s="104"/>
      <c r="C159" s="104"/>
    </row>
    <row r="160" spans="1:22">
      <c r="A160" t="s">
        <v>64</v>
      </c>
      <c r="B160" s="46"/>
      <c r="C160" s="46"/>
    </row>
    <row r="161" spans="1:22">
      <c r="A161" t="s">
        <v>9</v>
      </c>
      <c r="B161" s="46">
        <v>1</v>
      </c>
      <c r="C161" s="46"/>
      <c r="E161" s="52" t="s">
        <v>742</v>
      </c>
      <c r="V161" s="52" t="s">
        <v>762</v>
      </c>
    </row>
    <row r="162" spans="1:22">
      <c r="A162" t="s">
        <v>10</v>
      </c>
      <c r="B162" s="46">
        <v>17</v>
      </c>
      <c r="C162" s="46"/>
      <c r="E162" s="52" t="s">
        <v>742</v>
      </c>
      <c r="V162" t="s">
        <v>692</v>
      </c>
    </row>
    <row r="163" spans="1:22">
      <c r="A163" s="3" t="s">
        <v>24</v>
      </c>
      <c r="B163" s="104">
        <f>SUM(B161:B162)</f>
        <v>18</v>
      </c>
      <c r="C163" s="104"/>
      <c r="E163" t="s">
        <v>429</v>
      </c>
    </row>
    <row r="164" spans="1:22">
      <c r="B164" s="46"/>
      <c r="C164" s="46"/>
    </row>
    <row r="165" spans="1:22" ht="15.75">
      <c r="A165" s="4" t="s">
        <v>23</v>
      </c>
      <c r="B165" s="139">
        <f>SUM(B139+B145+B147+B152+B150+B158+B163)</f>
        <v>128.25864000000001</v>
      </c>
      <c r="C165" s="49"/>
    </row>
    <row r="167" spans="1:22">
      <c r="A167" s="106" t="s">
        <v>674</v>
      </c>
      <c r="B167" s="39"/>
      <c r="C167" s="39"/>
      <c r="D167" s="39"/>
    </row>
    <row r="168" spans="1:22">
      <c r="A168" s="106"/>
      <c r="B168" s="39"/>
      <c r="C168" s="39"/>
      <c r="D168" s="39"/>
    </row>
    <row r="169" spans="1:22">
      <c r="A169" s="106"/>
      <c r="B169" s="39"/>
      <c r="C169" s="39"/>
      <c r="D169" s="39"/>
    </row>
    <row r="170" spans="1:22">
      <c r="B170" s="41" t="s">
        <v>29</v>
      </c>
      <c r="C170" s="41"/>
    </row>
    <row r="171" spans="1:22">
      <c r="B171" s="41" t="s">
        <v>823</v>
      </c>
      <c r="C171" s="41"/>
    </row>
    <row r="172" spans="1:22">
      <c r="B172" s="41" t="s">
        <v>16</v>
      </c>
      <c r="C172" s="41"/>
    </row>
    <row r="173" spans="1:22">
      <c r="A173" s="2" t="s">
        <v>11</v>
      </c>
      <c r="B173" s="106"/>
      <c r="C173" s="106"/>
    </row>
    <row r="174" spans="1:22">
      <c r="B174" s="106"/>
      <c r="C174" s="106"/>
    </row>
    <row r="175" spans="1:22">
      <c r="A175" t="s">
        <v>0</v>
      </c>
      <c r="B175" s="46">
        <f>'CAN Disability details 12-13'!B6*0.004</f>
        <v>2.7600000000000002</v>
      </c>
      <c r="C175" s="46"/>
      <c r="D175" s="302" t="s">
        <v>217</v>
      </c>
      <c r="E175" s="52" t="s">
        <v>811</v>
      </c>
    </row>
    <row r="176" spans="1:22">
      <c r="A176" t="s">
        <v>1</v>
      </c>
      <c r="B176" s="46">
        <f>'CAN Disability details 12-13'!B7*0.004</f>
        <v>4.8</v>
      </c>
      <c r="C176" s="46"/>
      <c r="D176" s="302" t="s">
        <v>217</v>
      </c>
      <c r="E176" s="52" t="s">
        <v>757</v>
      </c>
      <c r="I176" t="s">
        <v>93</v>
      </c>
    </row>
    <row r="177" spans="1:16">
      <c r="A177" t="s">
        <v>14</v>
      </c>
      <c r="B177" s="46">
        <f>'CAN Disability details 12-13'!B8*0.004</f>
        <v>0.42</v>
      </c>
      <c r="C177" s="46"/>
      <c r="D177" s="302" t="s">
        <v>217</v>
      </c>
      <c r="E177" s="52" t="s">
        <v>761</v>
      </c>
    </row>
    <row r="178" spans="1:16">
      <c r="A178" t="s">
        <v>2</v>
      </c>
      <c r="B178" s="46">
        <f>'CAN Disability details 12-13'!B9*0.004</f>
        <v>0.02</v>
      </c>
      <c r="C178" s="46"/>
      <c r="D178" s="302" t="s">
        <v>217</v>
      </c>
    </row>
    <row r="179" spans="1:16">
      <c r="A179" t="s">
        <v>68</v>
      </c>
      <c r="B179" s="46">
        <f>'CAN Disability details 12-13'!B10*0.004</f>
        <v>0</v>
      </c>
      <c r="C179" s="46"/>
      <c r="D179" s="302" t="s">
        <v>217</v>
      </c>
    </row>
    <row r="180" spans="1:16">
      <c r="A180" t="s">
        <v>3</v>
      </c>
      <c r="B180" s="46">
        <f>'CAN Disability details 12-13'!B11*0.004</f>
        <v>0.56000000000000005</v>
      </c>
      <c r="C180" s="46"/>
      <c r="D180" s="302" t="s">
        <v>217</v>
      </c>
    </row>
    <row r="181" spans="1:16">
      <c r="A181" t="s">
        <v>15</v>
      </c>
      <c r="B181" s="46">
        <f>'CAN Disability details 12-13'!B12*0.004</f>
        <v>1.0579200000000002</v>
      </c>
      <c r="C181" s="46"/>
      <c r="D181" s="302" t="s">
        <v>217</v>
      </c>
      <c r="E181" s="248" t="s">
        <v>901</v>
      </c>
      <c r="F181" s="249"/>
      <c r="G181" s="249"/>
      <c r="H181" s="249"/>
      <c r="I181" s="30"/>
      <c r="J181" s="30"/>
      <c r="K181" s="30"/>
      <c r="L181" s="30"/>
      <c r="M181" s="30"/>
      <c r="N181" s="30"/>
      <c r="O181" s="30"/>
      <c r="P181" s="30"/>
    </row>
    <row r="182" spans="1:16">
      <c r="A182" s="3" t="s">
        <v>24</v>
      </c>
      <c r="B182" s="104">
        <f>SUM(B175:B181)</f>
        <v>9.6179200000000016</v>
      </c>
      <c r="C182" s="104"/>
      <c r="E182" s="6"/>
    </row>
    <row r="183" spans="1:16">
      <c r="B183" s="46"/>
      <c r="C183" s="46"/>
    </row>
    <row r="184" spans="1:16">
      <c r="A184" s="2" t="s">
        <v>4</v>
      </c>
      <c r="B184" s="46"/>
      <c r="C184" s="46"/>
    </row>
    <row r="185" spans="1:16">
      <c r="A185" t="s">
        <v>5</v>
      </c>
      <c r="B185" s="46">
        <v>32.700000000000003</v>
      </c>
      <c r="C185" s="46"/>
      <c r="E185" s="52" t="s">
        <v>747</v>
      </c>
      <c r="F185" s="30"/>
      <c r="G185" s="30"/>
      <c r="H185" s="30"/>
      <c r="I185" s="30"/>
      <c r="J185" s="30"/>
      <c r="K185" s="30"/>
      <c r="L185" s="30"/>
      <c r="M185" s="30"/>
      <c r="N185" s="30"/>
      <c r="O185" s="30"/>
      <c r="P185" s="30"/>
    </row>
    <row r="186" spans="1:16">
      <c r="A186" t="s">
        <v>69</v>
      </c>
      <c r="B186" s="105"/>
      <c r="C186" s="105"/>
      <c r="E186" s="300"/>
      <c r="F186" s="300"/>
      <c r="G186" s="300"/>
      <c r="H186" s="300"/>
      <c r="I186" s="300"/>
      <c r="J186" s="300"/>
      <c r="K186" s="300"/>
      <c r="L186" s="300"/>
      <c r="M186" s="300"/>
      <c r="N186" s="300"/>
      <c r="O186" s="300"/>
      <c r="P186" s="300"/>
    </row>
    <row r="187" spans="1:16">
      <c r="A187" t="s">
        <v>6</v>
      </c>
      <c r="B187" s="114">
        <v>13.5</v>
      </c>
      <c r="C187" s="114"/>
      <c r="D187" s="103"/>
      <c r="E187" s="120" t="s">
        <v>694</v>
      </c>
      <c r="F187" s="103"/>
      <c r="G187" s="103"/>
      <c r="H187" s="103"/>
      <c r="I187" s="103"/>
      <c r="J187" s="103"/>
      <c r="K187" s="103"/>
      <c r="L187" s="103"/>
      <c r="M187" s="103"/>
      <c r="N187" s="103"/>
      <c r="O187" s="103"/>
      <c r="P187" s="103"/>
    </row>
    <row r="188" spans="1:16">
      <c r="A188" s="3" t="s">
        <v>24</v>
      </c>
      <c r="B188" s="112">
        <f>SUM(B185:B187)</f>
        <v>46.2</v>
      </c>
      <c r="C188" s="112"/>
      <c r="D188" s="103"/>
      <c r="E188" s="103"/>
      <c r="F188" s="103"/>
      <c r="G188" s="103"/>
      <c r="H188" s="103"/>
      <c r="I188" s="103"/>
      <c r="J188" s="103"/>
      <c r="K188" s="103"/>
      <c r="L188" s="103"/>
      <c r="M188" s="103"/>
      <c r="N188" s="103"/>
      <c r="O188" s="103"/>
      <c r="P188" s="103"/>
    </row>
    <row r="189" spans="1:16">
      <c r="A189" s="3"/>
      <c r="B189" s="112"/>
      <c r="C189" s="112"/>
      <c r="D189" s="103"/>
      <c r="E189" s="103"/>
      <c r="F189" s="103"/>
      <c r="G189" s="103"/>
      <c r="H189" s="103"/>
      <c r="I189" s="103"/>
      <c r="J189" s="103"/>
      <c r="K189" s="103"/>
      <c r="L189" s="103"/>
      <c r="M189" s="103"/>
      <c r="N189" s="103"/>
      <c r="O189" s="103"/>
      <c r="P189" s="103"/>
    </row>
    <row r="190" spans="1:16">
      <c r="A190" s="52" t="s">
        <v>928</v>
      </c>
      <c r="B190" s="114">
        <v>17.5</v>
      </c>
      <c r="C190" s="112"/>
      <c r="D190" s="103"/>
      <c r="E190" s="103"/>
      <c r="F190" s="103"/>
      <c r="G190" s="103"/>
      <c r="H190" s="103"/>
      <c r="I190" s="103"/>
      <c r="J190" s="103"/>
      <c r="K190" s="103"/>
      <c r="L190" s="103"/>
      <c r="M190" s="103"/>
      <c r="N190" s="103"/>
      <c r="O190" s="103"/>
      <c r="P190" s="103"/>
    </row>
    <row r="191" spans="1:16">
      <c r="A191" s="52" t="s">
        <v>709</v>
      </c>
      <c r="B191" s="46">
        <v>4.3</v>
      </c>
      <c r="C191" s="46"/>
    </row>
    <row r="192" spans="1:16">
      <c r="A192" s="3" t="s">
        <v>478</v>
      </c>
      <c r="B192" s="104">
        <f>SUM(B190:B191)</f>
        <v>21.8</v>
      </c>
      <c r="C192" s="104"/>
      <c r="E192" t="s">
        <v>98</v>
      </c>
    </row>
    <row r="193" spans="1:5">
      <c r="A193" s="3"/>
      <c r="B193" s="104"/>
      <c r="C193" s="104"/>
    </row>
    <row r="194" spans="1:5">
      <c r="A194" s="2" t="s">
        <v>334</v>
      </c>
      <c r="B194" s="46"/>
      <c r="C194" s="46"/>
    </row>
    <row r="195" spans="1:5">
      <c r="A195" s="103" t="s">
        <v>335</v>
      </c>
      <c r="B195" s="46">
        <f>'SA $ by prov 12-13'!B5*0.57</f>
        <v>18.867000000000001</v>
      </c>
      <c r="C195" s="46" t="s">
        <v>437</v>
      </c>
      <c r="E195" s="151" t="s">
        <v>962</v>
      </c>
    </row>
    <row r="196" spans="1:5">
      <c r="A196" s="103"/>
      <c r="B196" s="46"/>
      <c r="C196" s="46"/>
      <c r="E196" s="278" t="s">
        <v>959</v>
      </c>
    </row>
    <row r="197" spans="1:5">
      <c r="A197" s="103" t="s">
        <v>12</v>
      </c>
      <c r="B197" s="46">
        <f>(73.1*0.013)*0.57</f>
        <v>0.5416709999999999</v>
      </c>
      <c r="C197" s="46" t="s">
        <v>437</v>
      </c>
      <c r="E197" s="218" t="s">
        <v>960</v>
      </c>
    </row>
    <row r="198" spans="1:5">
      <c r="A198" s="115" t="s">
        <v>24</v>
      </c>
      <c r="B198" s="104">
        <f>SUM(B195:B197)</f>
        <v>19.408671000000002</v>
      </c>
      <c r="C198" s="104" t="s">
        <v>437</v>
      </c>
    </row>
    <row r="199" spans="1:5">
      <c r="A199" s="3"/>
      <c r="B199" s="104"/>
      <c r="C199" s="104"/>
    </row>
    <row r="200" spans="1:5">
      <c r="A200" s="2" t="s">
        <v>13</v>
      </c>
      <c r="B200" s="46"/>
      <c r="C200" s="46"/>
    </row>
    <row r="201" spans="1:5">
      <c r="A201" t="s">
        <v>7</v>
      </c>
      <c r="B201" s="46">
        <v>15.1</v>
      </c>
      <c r="C201" s="46"/>
      <c r="E201" t="s">
        <v>973</v>
      </c>
    </row>
    <row r="202" spans="1:5">
      <c r="A202" t="s">
        <v>8</v>
      </c>
      <c r="B202" s="46"/>
      <c r="C202" s="46"/>
      <c r="E202" t="s">
        <v>167</v>
      </c>
    </row>
    <row r="203" spans="1:5">
      <c r="A203" s="3" t="s">
        <v>57</v>
      </c>
      <c r="B203" s="104">
        <f>SUM(B201:B202)</f>
        <v>15.1</v>
      </c>
      <c r="C203" s="104"/>
    </row>
    <row r="204" spans="1:5">
      <c r="A204" s="3"/>
      <c r="B204" s="104"/>
      <c r="C204" s="104"/>
    </row>
    <row r="205" spans="1:5">
      <c r="A205" t="s">
        <v>64</v>
      </c>
      <c r="B205" s="46"/>
      <c r="C205" s="46"/>
    </row>
    <row r="206" spans="1:5">
      <c r="A206" t="s">
        <v>9</v>
      </c>
      <c r="B206" s="46">
        <v>1</v>
      </c>
      <c r="C206" s="46"/>
      <c r="E206" s="52" t="s">
        <v>961</v>
      </c>
    </row>
    <row r="207" spans="1:5">
      <c r="A207" t="s">
        <v>10</v>
      </c>
      <c r="B207" s="46">
        <v>18</v>
      </c>
      <c r="C207" s="46"/>
      <c r="E207" s="52" t="s">
        <v>961</v>
      </c>
    </row>
    <row r="208" spans="1:5">
      <c r="A208" s="3" t="s">
        <v>24</v>
      </c>
      <c r="B208" s="104">
        <f>SUM(B206:B207)</f>
        <v>19</v>
      </c>
      <c r="C208" s="104"/>
      <c r="E208" t="s">
        <v>429</v>
      </c>
    </row>
    <row r="209" spans="1:16">
      <c r="B209" s="46"/>
      <c r="C209" s="46"/>
    </row>
    <row r="210" spans="1:16" ht="15.75">
      <c r="A210" s="4" t="s">
        <v>23</v>
      </c>
      <c r="B210" s="49">
        <f>SUM(B182+B188+B192+B198+B203+B208)</f>
        <v>131.12659099999999</v>
      </c>
      <c r="C210" s="49"/>
    </row>
    <row r="211" spans="1:16">
      <c r="A211" s="106"/>
      <c r="B211" s="39"/>
      <c r="C211" s="39"/>
      <c r="D211" s="39"/>
    </row>
    <row r="212" spans="1:16">
      <c r="A212" s="106"/>
      <c r="B212" s="39"/>
      <c r="C212" s="39"/>
      <c r="D212" s="39"/>
    </row>
    <row r="213" spans="1:16">
      <c r="B213" s="41" t="s">
        <v>29</v>
      </c>
      <c r="C213" s="41"/>
    </row>
    <row r="214" spans="1:16">
      <c r="B214" s="41" t="s">
        <v>824</v>
      </c>
      <c r="C214" s="41"/>
    </row>
    <row r="215" spans="1:16">
      <c r="B215" s="41" t="s">
        <v>16</v>
      </c>
      <c r="C215" s="41"/>
    </row>
    <row r="216" spans="1:16">
      <c r="A216" s="2" t="s">
        <v>11</v>
      </c>
      <c r="B216" s="106"/>
      <c r="C216" s="106"/>
    </row>
    <row r="217" spans="1:16">
      <c r="B217" s="106"/>
      <c r="C217" s="106"/>
    </row>
    <row r="218" spans="1:16">
      <c r="A218" t="s">
        <v>0</v>
      </c>
      <c r="B218" s="46">
        <f>'CAN Disability details 12-13'!B6*0.004</f>
        <v>2.7600000000000002</v>
      </c>
      <c r="C218" s="46"/>
      <c r="D218" s="302" t="s">
        <v>217</v>
      </c>
      <c r="E218" s="52" t="s">
        <v>811</v>
      </c>
    </row>
    <row r="219" spans="1:16">
      <c r="A219" t="s">
        <v>1</v>
      </c>
      <c r="B219" s="46">
        <f>'CAN Disability details 12-13'!B7*0.004</f>
        <v>4.8</v>
      </c>
      <c r="C219" s="46"/>
      <c r="D219" s="302" t="s">
        <v>217</v>
      </c>
      <c r="E219" s="52" t="s">
        <v>757</v>
      </c>
      <c r="I219" t="s">
        <v>93</v>
      </c>
    </row>
    <row r="220" spans="1:16">
      <c r="A220" t="s">
        <v>14</v>
      </c>
      <c r="B220" s="46">
        <f>'CAN Disability details 12-13'!B8*0.004</f>
        <v>0.42</v>
      </c>
      <c r="C220" s="46"/>
      <c r="D220" s="302" t="s">
        <v>217</v>
      </c>
      <c r="E220" s="52" t="s">
        <v>761</v>
      </c>
    </row>
    <row r="221" spans="1:16">
      <c r="A221" t="s">
        <v>2</v>
      </c>
      <c r="B221" s="46">
        <f>'CAN Disability details 12-13'!B9*0.004</f>
        <v>0.02</v>
      </c>
      <c r="C221" s="46"/>
      <c r="D221" s="302" t="s">
        <v>217</v>
      </c>
    </row>
    <row r="222" spans="1:16">
      <c r="A222" t="s">
        <v>68</v>
      </c>
      <c r="B222" s="46">
        <f>'CAN Disability details 12-13'!B10*0.004</f>
        <v>0</v>
      </c>
      <c r="C222" s="46"/>
      <c r="D222" s="302" t="s">
        <v>217</v>
      </c>
    </row>
    <row r="223" spans="1:16">
      <c r="A223" t="s">
        <v>3</v>
      </c>
      <c r="B223" s="46">
        <f>'CAN Disability details 12-13'!B11*0.004</f>
        <v>0.56000000000000005</v>
      </c>
      <c r="C223" s="46"/>
      <c r="D223" s="302" t="s">
        <v>217</v>
      </c>
    </row>
    <row r="224" spans="1:16">
      <c r="A224" t="s">
        <v>15</v>
      </c>
      <c r="B224" s="46">
        <f>'CAN Disability details 12-13'!B12*0.004</f>
        <v>1.0579200000000002</v>
      </c>
      <c r="C224" s="46"/>
      <c r="D224" s="302" t="s">
        <v>217</v>
      </c>
      <c r="E224" s="248" t="s">
        <v>812</v>
      </c>
      <c r="F224" s="249"/>
      <c r="G224" s="249"/>
      <c r="H224" s="249"/>
      <c r="I224" s="30"/>
      <c r="J224" s="30"/>
      <c r="K224" s="30"/>
      <c r="L224" s="30"/>
      <c r="M224" s="30"/>
      <c r="N224" s="30"/>
      <c r="O224" s="30"/>
      <c r="P224" s="30"/>
    </row>
    <row r="225" spans="1:16">
      <c r="A225" s="3" t="s">
        <v>24</v>
      </c>
      <c r="B225" s="104">
        <f>SUM(B218:B224)</f>
        <v>9.6179200000000016</v>
      </c>
      <c r="C225" s="104"/>
      <c r="E225" s="6"/>
    </row>
    <row r="226" spans="1:16">
      <c r="B226" s="46"/>
      <c r="C226" s="46"/>
    </row>
    <row r="227" spans="1:16">
      <c r="A227" s="2" t="s">
        <v>4</v>
      </c>
      <c r="B227" s="46"/>
      <c r="C227" s="46"/>
    </row>
    <row r="228" spans="1:16">
      <c r="A228" t="s">
        <v>5</v>
      </c>
      <c r="B228" s="114">
        <v>33</v>
      </c>
      <c r="C228" s="46"/>
      <c r="E228" s="52" t="s">
        <v>747</v>
      </c>
      <c r="F228" s="30"/>
      <c r="G228" s="30"/>
      <c r="H228" s="30"/>
      <c r="I228" s="30"/>
      <c r="J228" s="30"/>
      <c r="K228" s="30"/>
      <c r="L228" s="30"/>
      <c r="M228" s="30"/>
      <c r="N228" s="30"/>
      <c r="O228" s="30"/>
      <c r="P228" s="30"/>
    </row>
    <row r="229" spans="1:16">
      <c r="A229" t="s">
        <v>69</v>
      </c>
      <c r="B229" s="105"/>
      <c r="C229" s="105"/>
      <c r="E229" s="300"/>
      <c r="F229" s="300"/>
      <c r="G229" s="300"/>
      <c r="H229" s="300"/>
      <c r="I229" s="300"/>
      <c r="J229" s="300"/>
      <c r="K229" s="300"/>
      <c r="L229" s="300"/>
      <c r="M229" s="300"/>
      <c r="N229" s="300"/>
      <c r="O229" s="300"/>
      <c r="P229" s="300"/>
    </row>
    <row r="230" spans="1:16">
      <c r="A230" t="s">
        <v>6</v>
      </c>
      <c r="B230">
        <v>15.7</v>
      </c>
      <c r="C230" s="114"/>
      <c r="D230" s="103"/>
      <c r="E230" s="120" t="s">
        <v>971</v>
      </c>
      <c r="F230" s="103"/>
      <c r="G230" s="103"/>
      <c r="H230" s="103"/>
      <c r="I230" s="103"/>
      <c r="J230" s="103"/>
      <c r="K230" s="103"/>
      <c r="L230" s="103"/>
      <c r="M230" s="103"/>
      <c r="N230" s="103"/>
      <c r="O230" s="103"/>
      <c r="P230" s="103"/>
    </row>
    <row r="231" spans="1:16">
      <c r="A231" s="3" t="s">
        <v>24</v>
      </c>
      <c r="B231" s="112">
        <f>SUM(B228:B230)</f>
        <v>48.7</v>
      </c>
      <c r="C231" s="112"/>
      <c r="D231" s="103"/>
      <c r="E231" s="103"/>
      <c r="F231" s="103"/>
      <c r="G231" s="103"/>
      <c r="H231" s="103"/>
      <c r="I231" s="103"/>
      <c r="J231" s="103"/>
      <c r="K231" s="103"/>
      <c r="L231" s="103"/>
      <c r="M231" s="103"/>
      <c r="N231" s="103"/>
      <c r="O231" s="103"/>
      <c r="P231" s="103"/>
    </row>
    <row r="232" spans="1:16">
      <c r="A232" s="3"/>
      <c r="B232" s="112"/>
      <c r="C232" s="112"/>
      <c r="D232" s="103"/>
      <c r="E232" s="103"/>
      <c r="F232" s="103"/>
      <c r="G232" s="103"/>
      <c r="H232" s="103"/>
      <c r="I232" s="103"/>
      <c r="J232" s="103"/>
      <c r="K232" s="103"/>
      <c r="L232" s="103"/>
      <c r="M232" s="103"/>
      <c r="N232" s="103"/>
      <c r="O232" s="103"/>
      <c r="P232" s="103"/>
    </row>
    <row r="233" spans="1:16">
      <c r="A233" s="52" t="s">
        <v>928</v>
      </c>
      <c r="B233" s="114">
        <v>17.100000000000001</v>
      </c>
      <c r="C233" s="112"/>
      <c r="D233" s="103"/>
      <c r="E233" s="103"/>
      <c r="F233" s="103"/>
      <c r="G233" s="103"/>
      <c r="H233" s="103"/>
      <c r="I233" s="103"/>
      <c r="J233" s="103"/>
      <c r="K233" s="103"/>
      <c r="L233" s="103"/>
      <c r="M233" s="103"/>
      <c r="N233" s="103"/>
      <c r="O233" s="103"/>
      <c r="P233" s="103"/>
    </row>
    <row r="234" spans="1:16">
      <c r="A234" s="52" t="s">
        <v>709</v>
      </c>
      <c r="B234" s="46">
        <v>3.4</v>
      </c>
      <c r="C234" s="46"/>
    </row>
    <row r="235" spans="1:16">
      <c r="A235" s="3" t="s">
        <v>478</v>
      </c>
      <c r="B235" s="104">
        <f>SUM(B233:B234)</f>
        <v>20.5</v>
      </c>
      <c r="C235" s="104"/>
      <c r="E235" t="s">
        <v>98</v>
      </c>
    </row>
    <row r="236" spans="1:16">
      <c r="A236" s="3"/>
      <c r="B236" s="104"/>
      <c r="C236" s="104"/>
    </row>
    <row r="237" spans="1:16">
      <c r="A237" s="2" t="s">
        <v>334</v>
      </c>
      <c r="B237" s="46"/>
      <c r="C237" s="46"/>
    </row>
    <row r="238" spans="1:16">
      <c r="A238" s="103" t="s">
        <v>335</v>
      </c>
      <c r="B238" s="46">
        <f>'SA $ by prov 13-14'!B5*0.59</f>
        <v>19.47</v>
      </c>
      <c r="C238" s="46" t="s">
        <v>437</v>
      </c>
      <c r="E238" s="278" t="s">
        <v>962</v>
      </c>
    </row>
    <row r="239" spans="1:16">
      <c r="A239" s="103"/>
      <c r="B239" s="46"/>
      <c r="C239" s="46"/>
      <c r="E239" s="278" t="s">
        <v>963</v>
      </c>
    </row>
    <row r="240" spans="1:16">
      <c r="A240" s="103" t="s">
        <v>12</v>
      </c>
      <c r="B240" s="46">
        <f>(74.9*0.013)*0.59</f>
        <v>0.57448299999999997</v>
      </c>
      <c r="C240" s="46" t="s">
        <v>437</v>
      </c>
      <c r="E240" s="218" t="s">
        <v>967</v>
      </c>
    </row>
    <row r="241" spans="1:28">
      <c r="A241" s="115" t="s">
        <v>24</v>
      </c>
      <c r="B241" s="104">
        <f>SUM(B238:B240)</f>
        <v>20.044483</v>
      </c>
      <c r="C241" s="104" t="s">
        <v>437</v>
      </c>
    </row>
    <row r="242" spans="1:28">
      <c r="A242" s="3"/>
      <c r="B242" s="104"/>
      <c r="C242" s="104"/>
    </row>
    <row r="243" spans="1:28">
      <c r="A243" s="2" t="s">
        <v>13</v>
      </c>
      <c r="B243" s="46"/>
      <c r="C243" s="46"/>
    </row>
    <row r="244" spans="1:28">
      <c r="A244" t="s">
        <v>7</v>
      </c>
      <c r="B244" s="46">
        <v>15.7</v>
      </c>
      <c r="C244" s="46" t="s">
        <v>437</v>
      </c>
      <c r="E244" t="s">
        <v>974</v>
      </c>
    </row>
    <row r="245" spans="1:28">
      <c r="A245" t="s">
        <v>8</v>
      </c>
      <c r="B245" s="46"/>
      <c r="C245" s="46"/>
      <c r="E245" s="52" t="s">
        <v>964</v>
      </c>
    </row>
    <row r="246" spans="1:28">
      <c r="A246" s="3" t="s">
        <v>57</v>
      </c>
      <c r="B246" s="104">
        <f>SUM(B244:B245)</f>
        <v>15.7</v>
      </c>
      <c r="C246" s="104"/>
    </row>
    <row r="247" spans="1:28">
      <c r="A247" s="3"/>
      <c r="B247" s="104"/>
      <c r="C247" s="104"/>
    </row>
    <row r="248" spans="1:28">
      <c r="A248" t="s">
        <v>64</v>
      </c>
      <c r="B248" s="46"/>
      <c r="C248" s="46"/>
    </row>
    <row r="249" spans="1:28">
      <c r="A249" t="s">
        <v>9</v>
      </c>
      <c r="B249" s="46">
        <v>1</v>
      </c>
      <c r="C249" s="46"/>
      <c r="E249" s="52" t="s">
        <v>927</v>
      </c>
    </row>
    <row r="250" spans="1:28">
      <c r="A250" t="s">
        <v>10</v>
      </c>
      <c r="B250" s="46">
        <v>25</v>
      </c>
      <c r="C250" s="46"/>
      <c r="E250" s="52" t="s">
        <v>927</v>
      </c>
    </row>
    <row r="251" spans="1:28">
      <c r="A251" s="3" t="s">
        <v>24</v>
      </c>
      <c r="B251" s="104">
        <f>SUM(B249:B250)</f>
        <v>26</v>
      </c>
      <c r="C251" s="104"/>
      <c r="E251" t="s">
        <v>429</v>
      </c>
    </row>
    <row r="252" spans="1:28">
      <c r="B252" s="46"/>
      <c r="C252" s="46"/>
    </row>
    <row r="253" spans="1:28" ht="15.75">
      <c r="A253" s="4" t="s">
        <v>23</v>
      </c>
      <c r="B253" s="49">
        <f>SUM(B225+B231+B235+B241+B246+B251)</f>
        <v>140.56240300000002</v>
      </c>
      <c r="C253" s="49"/>
    </row>
    <row r="254" spans="1:28">
      <c r="A254" s="106"/>
      <c r="B254" s="39"/>
      <c r="C254" s="39"/>
      <c r="D254" s="39"/>
    </row>
    <row r="255" spans="1:28">
      <c r="A255" s="106"/>
      <c r="B255" s="39"/>
      <c r="C255" s="39"/>
      <c r="D255" s="39"/>
    </row>
    <row r="256" spans="1:28">
      <c r="V256" s="224" t="s">
        <v>687</v>
      </c>
      <c r="W256" s="224"/>
      <c r="X256" s="224"/>
      <c r="Y256" s="224"/>
      <c r="Z256" s="2"/>
      <c r="AA256" s="2"/>
      <c r="AB256" s="2"/>
    </row>
    <row r="257" spans="1:29" ht="45" customHeight="1">
      <c r="O257" s="2" t="s">
        <v>389</v>
      </c>
      <c r="V257" s="226">
        <v>2005</v>
      </c>
      <c r="W257" s="226">
        <v>2010</v>
      </c>
      <c r="X257" s="226">
        <v>2011</v>
      </c>
      <c r="Y257" s="226">
        <v>2013</v>
      </c>
      <c r="Z257" s="322" t="s">
        <v>1030</v>
      </c>
      <c r="AA257" s="322"/>
      <c r="AB257" s="322"/>
      <c r="AC257" s="230"/>
    </row>
    <row r="258" spans="1:29" ht="51.75">
      <c r="A258" s="4" t="s">
        <v>435</v>
      </c>
      <c r="B258" s="41" t="s">
        <v>58</v>
      </c>
      <c r="C258" s="41"/>
      <c r="D258" s="41" t="s">
        <v>181</v>
      </c>
      <c r="E258" s="256" t="s">
        <v>743</v>
      </c>
      <c r="F258" s="41" t="s">
        <v>514</v>
      </c>
      <c r="G258" s="256" t="s">
        <v>743</v>
      </c>
      <c r="H258" s="41" t="s">
        <v>689</v>
      </c>
      <c r="I258" s="256" t="s">
        <v>743</v>
      </c>
      <c r="J258" s="301" t="s">
        <v>823</v>
      </c>
      <c r="K258" s="301" t="s">
        <v>743</v>
      </c>
      <c r="L258" s="301" t="s">
        <v>824</v>
      </c>
      <c r="M258" s="301" t="s">
        <v>743</v>
      </c>
      <c r="N258" s="301"/>
      <c r="O258" s="41" t="s">
        <v>58</v>
      </c>
      <c r="P258" s="41" t="s">
        <v>181</v>
      </c>
      <c r="Q258" s="41" t="s">
        <v>514</v>
      </c>
      <c r="R258" s="41" t="s">
        <v>689</v>
      </c>
      <c r="S258" s="41" t="s">
        <v>823</v>
      </c>
      <c r="T258" s="41" t="s">
        <v>824</v>
      </c>
      <c r="V258" s="232">
        <v>138064</v>
      </c>
      <c r="W258" s="232">
        <v>141678</v>
      </c>
      <c r="X258" s="232">
        <v>144038</v>
      </c>
      <c r="Y258" s="232">
        <v>145441</v>
      </c>
      <c r="Z258" s="256" t="s">
        <v>743</v>
      </c>
      <c r="AA258" s="50"/>
      <c r="AB258" s="50"/>
    </row>
    <row r="259" spans="1:29">
      <c r="A259" s="2" t="s">
        <v>11</v>
      </c>
      <c r="B259" s="9">
        <f>B13</f>
        <v>6.84</v>
      </c>
      <c r="C259" s="9"/>
      <c r="D259" s="9">
        <f>B55</f>
        <v>8.1939999999999991</v>
      </c>
      <c r="E259" s="29">
        <f>(D259-B259)/B259</f>
        <v>0.19795321637426888</v>
      </c>
      <c r="F259" s="9">
        <f>B97</f>
        <v>8.7615999999999996</v>
      </c>
      <c r="G259" s="29">
        <f>(F259-B259)/B259</f>
        <v>0.28093567251461987</v>
      </c>
      <c r="H259" s="9">
        <f>B139</f>
        <v>9.2338399999999989</v>
      </c>
      <c r="I259" s="29">
        <f>(H259-B259)/B259</f>
        <v>0.34997660818713439</v>
      </c>
      <c r="J259" s="9">
        <f>B182</f>
        <v>9.6179200000000016</v>
      </c>
      <c r="K259" s="29">
        <f>(J259-B259)/B259</f>
        <v>0.40612865497076051</v>
      </c>
      <c r="L259" s="9">
        <f>B225</f>
        <v>9.6179200000000016</v>
      </c>
      <c r="M259" s="29">
        <f>(L259-B259)/B259</f>
        <v>0.40612865497076051</v>
      </c>
      <c r="N259" s="29"/>
      <c r="O259" s="29">
        <f>B259/$B$268</f>
        <v>7.0485562052799253E-2</v>
      </c>
      <c r="P259" s="29">
        <f>D259/$D$268</f>
        <v>7.0206343589537062E-2</v>
      </c>
      <c r="Q259" s="29">
        <f>F259/$F$268</f>
        <v>7.1336515044818583E-2</v>
      </c>
      <c r="R259" s="29">
        <f>H259/$H$268</f>
        <v>7.1993902321122377E-2</v>
      </c>
      <c r="S259" s="29">
        <f>J259/$J$268</f>
        <v>7.3348356932424197E-2</v>
      </c>
      <c r="T259" s="29">
        <f>L259/$L$268</f>
        <v>6.842455588924444E-2</v>
      </c>
      <c r="V259" s="225">
        <f>(B259*1000000)/$V$258</f>
        <v>49.542241279406653</v>
      </c>
      <c r="W259" s="225">
        <f>(F259*1000000)/$W$258</f>
        <v>61.841640904021794</v>
      </c>
      <c r="X259" s="225">
        <f>(H259*1000000)/$X$258</f>
        <v>64.10697177133811</v>
      </c>
      <c r="Y259" s="225">
        <f>L259*1000000/$Y$258</f>
        <v>66.129358296491375</v>
      </c>
      <c r="Z259" s="56">
        <f>(Y259-V259)/V259</f>
        <v>0.33480756196590422</v>
      </c>
      <c r="AA259" s="2"/>
      <c r="AB259" s="2"/>
    </row>
    <row r="260" spans="1:29">
      <c r="A260" s="2" t="s">
        <v>5</v>
      </c>
      <c r="B260" s="9">
        <f>B16</f>
        <v>26</v>
      </c>
      <c r="C260" s="9"/>
      <c r="D260" s="9">
        <f>B58</f>
        <v>29.3</v>
      </c>
      <c r="E260" s="29">
        <f t="shared" ref="E260:E273" si="0">(D260-B260)/B260</f>
        <v>0.12692307692307694</v>
      </c>
      <c r="F260" s="9">
        <f>B100</f>
        <v>30.6</v>
      </c>
      <c r="G260" s="29">
        <f t="shared" ref="G260:G268" si="1">(F260-B260)/B260</f>
        <v>0.17692307692307699</v>
      </c>
      <c r="H260" s="9">
        <f>B142</f>
        <v>32.799999999999997</v>
      </c>
      <c r="I260" s="29">
        <f t="shared" ref="I260:I268" si="2">(H260-B260)/B260</f>
        <v>0.26153846153846144</v>
      </c>
      <c r="J260" s="9">
        <f>B185</f>
        <v>32.700000000000003</v>
      </c>
      <c r="K260" s="29">
        <f t="shared" ref="K260:K268" si="3">(J260-B260)/B260</f>
        <v>0.25769230769230778</v>
      </c>
      <c r="L260" s="9">
        <f>B228</f>
        <v>33</v>
      </c>
      <c r="M260" s="29">
        <f t="shared" ref="M260:M268" si="4">(L260-B260)/B260</f>
        <v>0.26923076923076922</v>
      </c>
      <c r="N260" s="29"/>
      <c r="O260" s="29">
        <f t="shared" ref="O260:O268" si="5">B260/$B$268</f>
        <v>0.2679275750545001</v>
      </c>
      <c r="P260" s="29">
        <f t="shared" ref="P260:P268" si="6">D260/$D$268</f>
        <v>0.25104294205192046</v>
      </c>
      <c r="Q260" s="29">
        <f t="shared" ref="Q260:Q268" si="7">F260/$F$268</f>
        <v>0.24914369069250464</v>
      </c>
      <c r="R260" s="29">
        <f t="shared" ref="R260:R268" si="8">H260/$H$268</f>
        <v>0.25573325898356636</v>
      </c>
      <c r="S260" s="29">
        <f t="shared" ref="S260:S268" si="9">J260/$J$268</f>
        <v>0.24937733643971577</v>
      </c>
      <c r="T260" s="29">
        <f t="shared" ref="T260:T268" si="10">L260/$L$268</f>
        <v>0.23477117134942546</v>
      </c>
      <c r="V260" s="225">
        <f t="shared" ref="V260:V273" si="11">(B260*1000000)/$V$258</f>
        <v>188.31846100359255</v>
      </c>
      <c r="W260" s="225">
        <f t="shared" ref="W260:W273" si="12">(F260*1000000)/$W$258</f>
        <v>215.98272138228941</v>
      </c>
      <c r="X260" s="225">
        <f t="shared" ref="X260:X268" si="13">(H260*1000000)/$X$258</f>
        <v>227.7176856107416</v>
      </c>
      <c r="Y260" s="225">
        <f t="shared" ref="Y260:Y268" si="14">L260*1000000/$Y$258</f>
        <v>226.8961297020785</v>
      </c>
      <c r="Z260" s="56">
        <f t="shared" ref="Z260:Z268" si="15">(Y260-V260)/V260</f>
        <v>0.20485335581491401</v>
      </c>
      <c r="AA260" s="2"/>
      <c r="AB260" s="2"/>
    </row>
    <row r="261" spans="1:29">
      <c r="A261" s="2" t="s">
        <v>6</v>
      </c>
      <c r="B261" s="9">
        <f>B18</f>
        <v>8</v>
      </c>
      <c r="C261" s="9"/>
      <c r="D261" s="9">
        <f>B60</f>
        <v>11.6</v>
      </c>
      <c r="E261" s="29">
        <f t="shared" si="0"/>
        <v>0.44999999999999996</v>
      </c>
      <c r="F261" s="9">
        <f>B102</f>
        <v>12</v>
      </c>
      <c r="G261" s="29">
        <f t="shared" si="1"/>
        <v>0.5</v>
      </c>
      <c r="H261" s="9">
        <f>B144</f>
        <v>14</v>
      </c>
      <c r="I261" s="29">
        <f t="shared" si="2"/>
        <v>0.75</v>
      </c>
      <c r="J261" s="9">
        <f>B187</f>
        <v>13.5</v>
      </c>
      <c r="K261" s="29">
        <f t="shared" si="3"/>
        <v>0.6875</v>
      </c>
      <c r="L261" s="9">
        <f>B230</f>
        <v>15.7</v>
      </c>
      <c r="M261" s="29">
        <f t="shared" si="4"/>
        <v>0.96249999999999991</v>
      </c>
      <c r="N261" s="29"/>
      <c r="O261" s="29">
        <f t="shared" si="5"/>
        <v>8.2439253862923112E-2</v>
      </c>
      <c r="P261" s="29">
        <f t="shared" si="6"/>
        <v>9.9389014600760314E-2</v>
      </c>
      <c r="Q261" s="29">
        <f t="shared" si="7"/>
        <v>9.7703408114707693E-2</v>
      </c>
      <c r="R261" s="29">
        <f t="shared" si="8"/>
        <v>0.10915443981005882</v>
      </c>
      <c r="S261" s="29">
        <f t="shared" si="9"/>
        <v>0.1029539462365799</v>
      </c>
      <c r="T261" s="29">
        <f t="shared" si="10"/>
        <v>0.11169416333896907</v>
      </c>
      <c r="V261" s="225">
        <f t="shared" si="11"/>
        <v>57.944141847259239</v>
      </c>
      <c r="W261" s="225">
        <f t="shared" si="12"/>
        <v>84.699106424427228</v>
      </c>
      <c r="X261" s="225">
        <f t="shared" si="13"/>
        <v>97.196573126536052</v>
      </c>
      <c r="Y261" s="225">
        <f t="shared" si="14"/>
        <v>107.94755261583735</v>
      </c>
      <c r="Z261" s="56">
        <f t="shared" si="15"/>
        <v>0.86295886304412117</v>
      </c>
      <c r="AA261" s="2"/>
      <c r="AB261" s="2"/>
    </row>
    <row r="262" spans="1:29">
      <c r="A262" s="2" t="s">
        <v>478</v>
      </c>
      <c r="B262" s="9">
        <f>B21</f>
        <v>18.215999999999998</v>
      </c>
      <c r="C262" s="9"/>
      <c r="D262" s="9">
        <f>B63</f>
        <v>22.3322</v>
      </c>
      <c r="E262" s="29">
        <f t="shared" si="0"/>
        <v>0.22596618357487941</v>
      </c>
      <c r="F262" s="9">
        <f>B105</f>
        <v>22.6</v>
      </c>
      <c r="G262" s="29">
        <f t="shared" si="1"/>
        <v>0.24066754501537135</v>
      </c>
      <c r="H262" s="9">
        <f>B147</f>
        <v>21.2</v>
      </c>
      <c r="I262" s="29">
        <f t="shared" si="2"/>
        <v>0.16381203337725089</v>
      </c>
      <c r="J262" s="9">
        <f>B192</f>
        <v>21.8</v>
      </c>
      <c r="K262" s="29">
        <f t="shared" si="3"/>
        <v>0.19675010979358826</v>
      </c>
      <c r="L262" s="9">
        <f>B235</f>
        <v>20.5</v>
      </c>
      <c r="M262" s="29">
        <f t="shared" si="4"/>
        <v>0.12538427755819076</v>
      </c>
      <c r="N262" s="29"/>
      <c r="O262" s="29">
        <f t="shared" si="5"/>
        <v>0.18771418104587589</v>
      </c>
      <c r="P262" s="29">
        <f t="shared" si="6"/>
        <v>0.19134270274716375</v>
      </c>
      <c r="Q262" s="29">
        <f t="shared" si="7"/>
        <v>0.18400808528269952</v>
      </c>
      <c r="R262" s="29">
        <f t="shared" si="8"/>
        <v>0.1652910088552319</v>
      </c>
      <c r="S262" s="29">
        <f t="shared" si="9"/>
        <v>0.16625155762647717</v>
      </c>
      <c r="T262" s="29">
        <f t="shared" si="10"/>
        <v>0.14584269735343097</v>
      </c>
      <c r="V262" s="225">
        <f t="shared" si="11"/>
        <v>131.93881098620926</v>
      </c>
      <c r="W262" s="225">
        <f t="shared" si="12"/>
        <v>159.51665043267127</v>
      </c>
      <c r="X262" s="225">
        <f t="shared" si="13"/>
        <v>147.18338216304031</v>
      </c>
      <c r="Y262" s="225">
        <f t="shared" si="14"/>
        <v>140.95062602704877</v>
      </c>
      <c r="Z262" s="56">
        <f t="shared" si="15"/>
        <v>6.8302988131228926E-2</v>
      </c>
      <c r="AA262" s="2"/>
      <c r="AB262" s="2"/>
    </row>
    <row r="263" spans="1:29">
      <c r="A263" s="107" t="s">
        <v>359</v>
      </c>
      <c r="B263" s="9">
        <f>B25</f>
        <v>14.905000000000001</v>
      </c>
      <c r="C263" s="9"/>
      <c r="D263" s="9">
        <f>B66</f>
        <v>16.060000000000002</v>
      </c>
      <c r="E263" s="29">
        <f t="shared" si="0"/>
        <v>7.7490774907749152E-2</v>
      </c>
      <c r="F263" s="9">
        <f>B108</f>
        <v>16.940000000000001</v>
      </c>
      <c r="G263" s="29">
        <f t="shared" si="1"/>
        <v>0.13653136531365315</v>
      </c>
      <c r="H263" s="9">
        <f>B150</f>
        <v>18.810000000000002</v>
      </c>
      <c r="I263" s="29">
        <f t="shared" si="2"/>
        <v>0.26199261992619932</v>
      </c>
      <c r="J263" s="9">
        <f>B195</f>
        <v>18.867000000000001</v>
      </c>
      <c r="K263" s="29">
        <f t="shared" si="3"/>
        <v>0.26581683998658162</v>
      </c>
      <c r="L263" s="9">
        <f>B238</f>
        <v>19.47</v>
      </c>
      <c r="M263" s="29">
        <f t="shared" si="4"/>
        <v>0.30627306273062715</v>
      </c>
      <c r="N263" s="29"/>
      <c r="O263" s="144">
        <f t="shared" si="5"/>
        <v>0.15359463485335864</v>
      </c>
      <c r="P263" s="144">
        <f t="shared" si="6"/>
        <v>0.13760237711105267</v>
      </c>
      <c r="Q263" s="144">
        <f t="shared" si="7"/>
        <v>0.13792464445526237</v>
      </c>
      <c r="R263" s="29">
        <f t="shared" si="8"/>
        <v>0.14665678663051476</v>
      </c>
      <c r="S263" s="29">
        <f t="shared" si="9"/>
        <v>0.14388385952930022</v>
      </c>
      <c r="T263" s="29">
        <f t="shared" si="10"/>
        <v>0.13851499109616103</v>
      </c>
      <c r="V263" s="225">
        <f t="shared" si="11"/>
        <v>107.95717927917489</v>
      </c>
      <c r="W263" s="225">
        <f t="shared" si="12"/>
        <v>119.56690523581644</v>
      </c>
      <c r="X263" s="225">
        <f t="shared" si="13"/>
        <v>130.59053860786739</v>
      </c>
      <c r="Y263" s="225">
        <f t="shared" si="14"/>
        <v>133.86871652422633</v>
      </c>
      <c r="Z263" s="56">
        <f t="shared" si="15"/>
        <v>0.24001680497824759</v>
      </c>
      <c r="AA263" s="2"/>
      <c r="AB263" s="2"/>
    </row>
    <row r="264" spans="1:29">
      <c r="A264" s="2" t="s">
        <v>327</v>
      </c>
      <c r="B264" s="9">
        <f>B27</f>
        <v>0.48015000000000002</v>
      </c>
      <c r="C264" s="9"/>
      <c r="D264" s="9">
        <f>B68</f>
        <v>0.52690000000000003</v>
      </c>
      <c r="E264" s="29">
        <f t="shared" si="0"/>
        <v>9.7365406643757188E-2</v>
      </c>
      <c r="F264" s="9">
        <f>B110</f>
        <v>0.51908999999999994</v>
      </c>
      <c r="G264" s="29">
        <f t="shared" si="1"/>
        <v>8.1099656357388139E-2</v>
      </c>
      <c r="H264" s="9">
        <f>B152</f>
        <v>0.51480000000000004</v>
      </c>
      <c r="I264" s="29">
        <f t="shared" si="2"/>
        <v>7.2164948453608269E-2</v>
      </c>
      <c r="J264" s="9">
        <f>B197</f>
        <v>0.5416709999999999</v>
      </c>
      <c r="K264" s="29">
        <f t="shared" si="3"/>
        <v>0.12812870977819407</v>
      </c>
      <c r="L264" s="9">
        <f>B240</f>
        <v>0.57448299999999997</v>
      </c>
      <c r="M264" s="29">
        <f t="shared" si="4"/>
        <v>0.19646568780589388</v>
      </c>
      <c r="N264" s="29"/>
      <c r="O264" s="29">
        <f t="shared" si="5"/>
        <v>4.947900967785317E-3</v>
      </c>
      <c r="P264" s="29">
        <f t="shared" si="6"/>
        <v>4.5144889476845355E-3</v>
      </c>
      <c r="Q264" s="29">
        <f t="shared" si="7"/>
        <v>4.226405176521968E-3</v>
      </c>
      <c r="R264" s="29">
        <f t="shared" si="8"/>
        <v>4.0137646867298774E-3</v>
      </c>
      <c r="S264" s="29">
        <f t="shared" si="9"/>
        <v>4.1309012601418119E-3</v>
      </c>
      <c r="T264" s="29">
        <f t="shared" si="10"/>
        <v>4.087031722131272E-3</v>
      </c>
      <c r="V264" s="225">
        <f t="shared" si="11"/>
        <v>3.4777349634951906</v>
      </c>
      <c r="W264" s="225">
        <f t="shared" si="12"/>
        <v>3.6638715961546602</v>
      </c>
      <c r="X264" s="225">
        <f t="shared" si="13"/>
        <v>3.5740568461100546</v>
      </c>
      <c r="Y264" s="225">
        <f t="shared" si="14"/>
        <v>3.9499384630193686</v>
      </c>
      <c r="Z264" s="56">
        <f t="shared" si="15"/>
        <v>0.13577903563116964</v>
      </c>
      <c r="AA264" s="2"/>
      <c r="AB264" s="2"/>
    </row>
    <row r="265" spans="1:29">
      <c r="A265" s="2" t="s">
        <v>500</v>
      </c>
      <c r="B265" s="9">
        <f>B263+B264</f>
        <v>15.385150000000001</v>
      </c>
      <c r="C265" s="9"/>
      <c r="D265" s="9">
        <f>D263+D264</f>
        <v>16.586900000000004</v>
      </c>
      <c r="E265" s="29">
        <f>(D265-B265)/B265</f>
        <v>7.8111035641511603E-2</v>
      </c>
      <c r="F265" s="9">
        <f>F263+F264</f>
        <v>17.45909</v>
      </c>
      <c r="G265" s="29">
        <f t="shared" si="1"/>
        <v>0.13480141565080603</v>
      </c>
      <c r="H265" s="9">
        <f>B153</f>
        <v>19.324800000000003</v>
      </c>
      <c r="I265" s="29">
        <f t="shared" si="2"/>
        <v>0.25606835162478114</v>
      </c>
      <c r="J265" s="9">
        <f>B198</f>
        <v>19.408671000000002</v>
      </c>
      <c r="K265" s="29">
        <f t="shared" si="3"/>
        <v>0.26151977718774272</v>
      </c>
      <c r="L265" s="9">
        <f>B241</f>
        <v>20.044483</v>
      </c>
      <c r="M265" s="29">
        <f t="shared" si="4"/>
        <v>0.30284612109729175</v>
      </c>
      <c r="N265" s="29"/>
      <c r="O265" s="29">
        <f>B265/$B$268</f>
        <v>0.15854253582114394</v>
      </c>
      <c r="P265" s="29">
        <f>D265/$D$268</f>
        <v>0.14211686605873722</v>
      </c>
      <c r="Q265" s="29">
        <f t="shared" si="7"/>
        <v>0.14215104963178432</v>
      </c>
      <c r="R265" s="29">
        <f t="shared" si="8"/>
        <v>0.15067055131724463</v>
      </c>
      <c r="S265" s="29">
        <f t="shared" si="9"/>
        <v>0.14801476078944203</v>
      </c>
      <c r="T265" s="29">
        <f t="shared" si="10"/>
        <v>0.14260202281829229</v>
      </c>
      <c r="V265" s="225">
        <f t="shared" si="11"/>
        <v>111.43491424267008</v>
      </c>
      <c r="W265" s="225">
        <f t="shared" si="12"/>
        <v>123.23077683197108</v>
      </c>
      <c r="X265" s="225">
        <f t="shared" si="13"/>
        <v>134.16459545397746</v>
      </c>
      <c r="Y265" s="225">
        <f t="shared" si="14"/>
        <v>137.81865498724568</v>
      </c>
      <c r="Z265" s="56">
        <f t="shared" si="15"/>
        <v>0.23676368330234582</v>
      </c>
      <c r="AA265" s="2"/>
      <c r="AB265" s="2"/>
    </row>
    <row r="266" spans="1:29">
      <c r="A266" s="2" t="s">
        <v>369</v>
      </c>
      <c r="B266" s="9">
        <f>B31</f>
        <v>10.6</v>
      </c>
      <c r="C266" s="9"/>
      <c r="D266" s="9">
        <f>B72</f>
        <v>11.7</v>
      </c>
      <c r="E266" s="29">
        <f t="shared" si="0"/>
        <v>0.10377358490566034</v>
      </c>
      <c r="F266" s="9">
        <f>B116</f>
        <v>13.4</v>
      </c>
      <c r="G266" s="29">
        <f t="shared" si="1"/>
        <v>0.26415094339622647</v>
      </c>
      <c r="H266" s="9">
        <f>B156</f>
        <v>13.7</v>
      </c>
      <c r="I266" s="29">
        <f t="shared" si="2"/>
        <v>0.29245283018867924</v>
      </c>
      <c r="J266" s="9">
        <f>B203</f>
        <v>15.1</v>
      </c>
      <c r="K266" s="29">
        <f t="shared" si="3"/>
        <v>0.42452830188679247</v>
      </c>
      <c r="L266" s="9">
        <f>B246</f>
        <v>15.7</v>
      </c>
      <c r="M266" s="29">
        <f t="shared" si="4"/>
        <v>0.48113207547169812</v>
      </c>
      <c r="N266" s="29"/>
      <c r="O266" s="29">
        <f t="shared" si="5"/>
        <v>0.10923201136837311</v>
      </c>
      <c r="P266" s="29">
        <f t="shared" si="6"/>
        <v>0.10024581645076687</v>
      </c>
      <c r="Q266" s="29">
        <f t="shared" si="7"/>
        <v>0.1091021390614236</v>
      </c>
      <c r="R266" s="29">
        <f t="shared" si="8"/>
        <v>0.10681541609984326</v>
      </c>
      <c r="S266" s="29">
        <f t="shared" si="9"/>
        <v>0.11515589542017454</v>
      </c>
      <c r="T266" s="29">
        <f t="shared" si="10"/>
        <v>0.11169416333896907</v>
      </c>
      <c r="V266" s="225">
        <f t="shared" si="11"/>
        <v>76.775987947618489</v>
      </c>
      <c r="W266" s="225">
        <f t="shared" si="12"/>
        <v>94.5806688406104</v>
      </c>
      <c r="X266" s="225">
        <f t="shared" si="13"/>
        <v>95.113789416681712</v>
      </c>
      <c r="Y266" s="225">
        <f t="shared" si="14"/>
        <v>107.94755261583735</v>
      </c>
      <c r="Z266" s="56">
        <f t="shared" si="15"/>
        <v>0.40600668908990278</v>
      </c>
      <c r="AA266" s="2"/>
      <c r="AB266" s="2"/>
    </row>
    <row r="267" spans="1:29">
      <c r="A267" s="2" t="s">
        <v>180</v>
      </c>
      <c r="B267" s="9">
        <f>B37</f>
        <v>12</v>
      </c>
      <c r="C267" s="9"/>
      <c r="D267" s="9">
        <f>B79</f>
        <v>17</v>
      </c>
      <c r="E267" s="29">
        <f t="shared" si="0"/>
        <v>0.41666666666666669</v>
      </c>
      <c r="F267" s="9">
        <f>B121</f>
        <v>18</v>
      </c>
      <c r="G267" s="29">
        <f t="shared" si="1"/>
        <v>0.5</v>
      </c>
      <c r="H267" s="9">
        <f>B163</f>
        <v>18</v>
      </c>
      <c r="I267" s="29">
        <f t="shared" si="2"/>
        <v>0.5</v>
      </c>
      <c r="J267" s="9">
        <f>B208</f>
        <v>19</v>
      </c>
      <c r="K267" s="29">
        <f t="shared" si="3"/>
        <v>0.58333333333333337</v>
      </c>
      <c r="L267" s="9">
        <f>B251</f>
        <v>26</v>
      </c>
      <c r="M267" s="29">
        <f t="shared" si="4"/>
        <v>1.1666666666666667</v>
      </c>
      <c r="N267" s="29"/>
      <c r="O267" s="29">
        <f t="shared" si="5"/>
        <v>0.12365888079438467</v>
      </c>
      <c r="P267" s="29">
        <f t="shared" si="6"/>
        <v>0.14565631450111427</v>
      </c>
      <c r="Q267" s="29">
        <f t="shared" si="7"/>
        <v>0.14655511217206155</v>
      </c>
      <c r="R267" s="29">
        <f t="shared" si="8"/>
        <v>0.14034142261293275</v>
      </c>
      <c r="S267" s="29">
        <f t="shared" si="9"/>
        <v>0.14489814655518651</v>
      </c>
      <c r="T267" s="29">
        <f t="shared" si="10"/>
        <v>0.18497122591166854</v>
      </c>
      <c r="V267" s="225">
        <f t="shared" si="11"/>
        <v>86.916212770888862</v>
      </c>
      <c r="W267" s="225">
        <f t="shared" si="12"/>
        <v>127.04865963664083</v>
      </c>
      <c r="X267" s="225">
        <f t="shared" si="13"/>
        <v>124.96702259126064</v>
      </c>
      <c r="Y267" s="225">
        <f t="shared" si="14"/>
        <v>178.76664764406186</v>
      </c>
      <c r="Z267" s="56">
        <f t="shared" si="15"/>
        <v>1.0567698700274797</v>
      </c>
      <c r="AA267" s="2"/>
      <c r="AB267" s="2"/>
    </row>
    <row r="268" spans="1:29" ht="15.75">
      <c r="B268" s="17">
        <f>SUM(B259:B267)-B265</f>
        <v>97.041149999999988</v>
      </c>
      <c r="C268" s="17"/>
      <c r="D268" s="17">
        <f>SUM(D259:D267)-D265</f>
        <v>116.71310000000001</v>
      </c>
      <c r="E268" s="123">
        <f t="shared" si="0"/>
        <v>0.20271761000359154</v>
      </c>
      <c r="F268" s="17">
        <f>SUM(F259:F267)-F265</f>
        <v>122.82069000000001</v>
      </c>
      <c r="G268" s="123">
        <f t="shared" si="1"/>
        <v>0.26565575531617286</v>
      </c>
      <c r="H268" s="17">
        <f>SUM(H259:H267)-H265</f>
        <v>128.25863999999999</v>
      </c>
      <c r="I268" s="123">
        <f t="shared" si="2"/>
        <v>0.32169332288415792</v>
      </c>
      <c r="J268" s="17">
        <f>SUM(J259:J267)-J265</f>
        <v>131.12659099999999</v>
      </c>
      <c r="K268" s="29">
        <f t="shared" si="3"/>
        <v>0.35124729045358599</v>
      </c>
      <c r="L268" s="17">
        <f>SUM(L259:L267)-L265</f>
        <v>140.56240300000002</v>
      </c>
      <c r="M268" s="29">
        <f t="shared" si="4"/>
        <v>0.44848245306243834</v>
      </c>
      <c r="N268" s="123"/>
      <c r="O268" s="123">
        <f t="shared" si="5"/>
        <v>1</v>
      </c>
      <c r="P268" s="123">
        <f t="shared" si="6"/>
        <v>1</v>
      </c>
      <c r="Q268" s="123">
        <f t="shared" si="7"/>
        <v>1</v>
      </c>
      <c r="R268" s="123">
        <f t="shared" si="8"/>
        <v>1</v>
      </c>
      <c r="S268" s="29">
        <f t="shared" si="9"/>
        <v>1</v>
      </c>
      <c r="T268" s="29">
        <f t="shared" si="10"/>
        <v>1</v>
      </c>
      <c r="V268" s="225">
        <f t="shared" si="11"/>
        <v>702.87077007764503</v>
      </c>
      <c r="W268" s="225">
        <f t="shared" si="12"/>
        <v>866.90022445263207</v>
      </c>
      <c r="X268" s="225">
        <f t="shared" si="13"/>
        <v>890.45002013357578</v>
      </c>
      <c r="Y268" s="225">
        <f t="shared" si="14"/>
        <v>966.45652188860106</v>
      </c>
      <c r="Z268" s="56">
        <f t="shared" si="15"/>
        <v>0.37501310771799218</v>
      </c>
      <c r="AA268" s="2"/>
      <c r="AB268" s="2"/>
    </row>
    <row r="269" spans="1:29">
      <c r="V269" s="225"/>
      <c r="W269" s="225"/>
      <c r="X269" s="225"/>
      <c r="Y269" s="225"/>
      <c r="Z269" s="56"/>
      <c r="AA269" s="2"/>
      <c r="AB269" s="2"/>
    </row>
    <row r="270" spans="1:29">
      <c r="E270" s="41" t="s">
        <v>181</v>
      </c>
      <c r="G270" s="41" t="s">
        <v>514</v>
      </c>
      <c r="I270" s="41" t="s">
        <v>689</v>
      </c>
      <c r="J270" s="41"/>
      <c r="K270" s="307" t="s">
        <v>823</v>
      </c>
      <c r="L270" s="41"/>
      <c r="M270" s="307" t="s">
        <v>824</v>
      </c>
      <c r="N270" s="41"/>
      <c r="V270" s="225"/>
      <c r="W270" s="225"/>
      <c r="X270" s="225"/>
      <c r="Y270" s="225"/>
      <c r="Z270" s="56"/>
      <c r="AA270" s="2"/>
      <c r="AB270" s="2"/>
    </row>
    <row r="271" spans="1:29" ht="25.5">
      <c r="A271" s="130" t="s">
        <v>501</v>
      </c>
      <c r="B271" s="9">
        <f>B265</f>
        <v>15.385150000000001</v>
      </c>
      <c r="D271" s="9">
        <f>D265</f>
        <v>16.586900000000004</v>
      </c>
      <c r="E271" s="29">
        <f t="shared" si="0"/>
        <v>7.8111035641511603E-2</v>
      </c>
      <c r="F271" s="9">
        <f>F265</f>
        <v>17.45909</v>
      </c>
      <c r="G271" s="29">
        <f>(F271-B271)/B271</f>
        <v>0.13480141565080603</v>
      </c>
      <c r="H271" s="9">
        <f>H265</f>
        <v>19.324800000000003</v>
      </c>
      <c r="I271" s="29">
        <f>(H271-B271)/B271</f>
        <v>0.25606835162478114</v>
      </c>
      <c r="J271" s="9">
        <f t="shared" ref="J271" si="16">J265</f>
        <v>19.408671000000002</v>
      </c>
      <c r="K271" s="29">
        <f>(J271-B271)/B271</f>
        <v>0.26151977718774272</v>
      </c>
      <c r="L271" s="9">
        <f t="shared" ref="L271" si="17">L265</f>
        <v>20.044483</v>
      </c>
      <c r="M271" s="29">
        <f>(L271-B271)/B271</f>
        <v>0.30284612109729175</v>
      </c>
      <c r="N271" s="29"/>
      <c r="V271" s="225">
        <f t="shared" si="11"/>
        <v>111.43491424267008</v>
      </c>
      <c r="W271" s="225">
        <f t="shared" si="12"/>
        <v>123.23077683197108</v>
      </c>
      <c r="X271" s="225">
        <f>(H271*1000000)/$X$258</f>
        <v>134.16459545397746</v>
      </c>
      <c r="Y271" s="225">
        <f t="shared" ref="Y271:Y273" si="18">L271*1000000/$Y$258</f>
        <v>137.81865498724568</v>
      </c>
      <c r="Z271" s="56">
        <f t="shared" ref="Z271:Z273" si="19">(Y271-V271)/V271</f>
        <v>0.23676368330234582</v>
      </c>
      <c r="AA271" s="2"/>
      <c r="AB271" s="2"/>
    </row>
    <row r="272" spans="1:29">
      <c r="A272" s="2" t="s">
        <v>373</v>
      </c>
      <c r="B272" s="9">
        <f>B268</f>
        <v>97.041149999999988</v>
      </c>
      <c r="D272" s="9">
        <f>D268</f>
        <v>116.71310000000001</v>
      </c>
      <c r="E272" s="29">
        <f t="shared" si="0"/>
        <v>0.20271761000359154</v>
      </c>
      <c r="F272" s="9">
        <f>F268</f>
        <v>122.82069000000001</v>
      </c>
      <c r="G272" s="29">
        <f>(F272-B272)/B272</f>
        <v>0.26565575531617286</v>
      </c>
      <c r="H272" s="9">
        <f>H268</f>
        <v>128.25863999999999</v>
      </c>
      <c r="I272" s="29">
        <f>(H272-B272)/B272</f>
        <v>0.32169332288415792</v>
      </c>
      <c r="J272" s="9">
        <f t="shared" ref="J272" si="20">J268</f>
        <v>131.12659099999999</v>
      </c>
      <c r="K272" s="29">
        <f t="shared" ref="K272:K273" si="21">(J272-B272)/B272</f>
        <v>0.35124729045358599</v>
      </c>
      <c r="L272" s="9">
        <f t="shared" ref="L272" si="22">L268</f>
        <v>140.56240300000002</v>
      </c>
      <c r="M272" s="29">
        <f t="shared" ref="M272:M273" si="23">(L272-B272)/B272</f>
        <v>0.44848245306243834</v>
      </c>
      <c r="N272" s="29"/>
      <c r="V272" s="225">
        <f t="shared" si="11"/>
        <v>702.87077007764503</v>
      </c>
      <c r="W272" s="225">
        <f t="shared" si="12"/>
        <v>866.90022445263207</v>
      </c>
      <c r="X272" s="225">
        <f>(H272*1000000)/$X$258</f>
        <v>890.45002013357578</v>
      </c>
      <c r="Y272" s="225">
        <f t="shared" si="18"/>
        <v>966.45652188860106</v>
      </c>
      <c r="Z272" s="56">
        <f t="shared" si="19"/>
        <v>0.37501310771799218</v>
      </c>
      <c r="AA272" s="2"/>
      <c r="AB272" s="2"/>
    </row>
    <row r="273" spans="1:28" ht="25.5">
      <c r="A273" s="130" t="s">
        <v>385</v>
      </c>
      <c r="B273" s="9">
        <f>B272-B271</f>
        <v>81.655999999999992</v>
      </c>
      <c r="D273" s="9">
        <f>D272-D271</f>
        <v>100.12620000000001</v>
      </c>
      <c r="E273" s="29">
        <f t="shared" si="0"/>
        <v>0.22619525815616759</v>
      </c>
      <c r="F273" s="9">
        <f>F272-F271</f>
        <v>105.36160000000001</v>
      </c>
      <c r="G273" s="29">
        <f>(F273-B273)/B273</f>
        <v>0.29031057117664372</v>
      </c>
      <c r="H273" s="9">
        <f>H272-H271</f>
        <v>108.93383999999998</v>
      </c>
      <c r="I273" s="29">
        <f>(H273-B273)/B273</f>
        <v>0.33405799941216796</v>
      </c>
      <c r="J273" s="9">
        <f t="shared" ref="J273" si="24">J272-J271</f>
        <v>111.71791999999999</v>
      </c>
      <c r="K273" s="29">
        <f t="shared" si="21"/>
        <v>0.36815322817674151</v>
      </c>
      <c r="L273" s="9">
        <f t="shared" ref="L273" si="25">L272-L271</f>
        <v>120.51792000000002</v>
      </c>
      <c r="M273" s="29">
        <f t="shared" si="23"/>
        <v>0.47592240619182952</v>
      </c>
      <c r="N273" s="29"/>
      <c r="V273" s="225">
        <f t="shared" si="11"/>
        <v>591.43585583497497</v>
      </c>
      <c r="W273" s="225">
        <f t="shared" si="12"/>
        <v>743.669447620661</v>
      </c>
      <c r="X273" s="225">
        <f>(H273*1000000)/$X$258</f>
        <v>756.28542467959824</v>
      </c>
      <c r="Y273" s="225">
        <f t="shared" si="18"/>
        <v>828.63786690135532</v>
      </c>
      <c r="Z273" s="56">
        <f t="shared" si="19"/>
        <v>0.40106126256329899</v>
      </c>
      <c r="AA273" s="2"/>
      <c r="AB273" s="2"/>
    </row>
    <row r="277" spans="1:28">
      <c r="A277" s="52" t="s">
        <v>441</v>
      </c>
    </row>
    <row r="278" spans="1:28">
      <c r="A278" s="52" t="s">
        <v>574</v>
      </c>
      <c r="B278" s="103"/>
      <c r="C278" s="103"/>
      <c r="D278" s="103"/>
      <c r="E278" s="103"/>
    </row>
    <row r="279" spans="1:28">
      <c r="A279" s="106" t="s">
        <v>675</v>
      </c>
      <c r="B279" s="39"/>
      <c r="C279" s="39"/>
      <c r="D279" s="39"/>
      <c r="E279" s="39"/>
    </row>
    <row r="280" spans="1:28">
      <c r="A280" s="52" t="s">
        <v>760</v>
      </c>
    </row>
    <row r="281" spans="1:28">
      <c r="A281" s="52" t="s">
        <v>773</v>
      </c>
    </row>
    <row r="282" spans="1:28">
      <c r="A282" s="52" t="s">
        <v>790</v>
      </c>
    </row>
    <row r="283" spans="1:28">
      <c r="A283" s="149" t="s">
        <v>815</v>
      </c>
      <c r="B283" s="136"/>
      <c r="C283" s="136"/>
      <c r="D283" s="136"/>
    </row>
  </sheetData>
  <mergeCells count="2">
    <mergeCell ref="E143:P143"/>
    <mergeCell ref="Z257:AB257"/>
  </mergeCells>
  <hyperlinks>
    <hyperlink ref="W18" r:id="rId1"/>
    <hyperlink ref="W60" r:id="rId2"/>
    <hyperlink ref="W25" r:id="rId3"/>
    <hyperlink ref="V102" r:id="rId4"/>
    <hyperlink ref="V96" r:id="rId5"/>
    <hyperlink ref="V156" r:id="rId6"/>
  </hyperlinks>
  <pageMargins left="0.70866141732283472" right="0.70866141732283472" top="0.74803149606299213" bottom="0.74803149606299213" header="0.31496062992125984" footer="0.31496062992125984"/>
  <pageSetup scale="85" fitToHeight="2" orientation="landscape" verticalDpi="0" r:id="rId7"/>
</worksheet>
</file>

<file path=xl/worksheets/sheet34.xml><?xml version="1.0" encoding="utf-8"?>
<worksheet xmlns="http://schemas.openxmlformats.org/spreadsheetml/2006/main" xmlns:r="http://schemas.openxmlformats.org/officeDocument/2006/relationships">
  <sheetPr>
    <tabColor rgb="FFFF0000"/>
  </sheetPr>
  <dimension ref="A1:AE288"/>
  <sheetViews>
    <sheetView topLeftCell="A7" workbookViewId="0">
      <selection activeCell="A266" sqref="A266:L274"/>
    </sheetView>
  </sheetViews>
  <sheetFormatPr defaultRowHeight="12.75"/>
  <cols>
    <col min="1" max="1" width="35.42578125" customWidth="1"/>
    <col min="2" max="2" width="10.140625" customWidth="1"/>
    <col min="3" max="3" width="2.7109375" customWidth="1"/>
    <col min="4" max="4" width="14" customWidth="1"/>
    <col min="5" max="7" width="9.28515625" bestFit="1" customWidth="1"/>
    <col min="8" max="8" width="9.42578125" bestFit="1" customWidth="1"/>
    <col min="9" max="9" width="9.28515625" bestFit="1" customWidth="1"/>
    <col min="10" max="14" width="9.28515625" customWidth="1"/>
    <col min="15" max="18" width="9.28515625" bestFit="1" customWidth="1"/>
    <col min="19" max="19" width="9.28515625" customWidth="1"/>
    <col min="21" max="21" width="10" customWidth="1"/>
    <col min="267" max="267" width="35.42578125" customWidth="1"/>
    <col min="268" max="268" width="10.140625" customWidth="1"/>
    <col min="269" max="269" width="14" customWidth="1"/>
    <col min="270" max="270" width="10.140625" customWidth="1"/>
    <col min="271" max="271" width="14" customWidth="1"/>
    <col min="279" max="279" width="10" customWidth="1"/>
    <col min="523" max="523" width="35.42578125" customWidth="1"/>
    <col min="524" max="524" width="10.140625" customWidth="1"/>
    <col min="525" max="525" width="14" customWidth="1"/>
    <col min="526" max="526" width="10.140625" customWidth="1"/>
    <col min="527" max="527" width="14" customWidth="1"/>
    <col min="535" max="535" width="10" customWidth="1"/>
    <col min="779" max="779" width="35.42578125" customWidth="1"/>
    <col min="780" max="780" width="10.140625" customWidth="1"/>
    <col min="781" max="781" width="14" customWidth="1"/>
    <col min="782" max="782" width="10.140625" customWidth="1"/>
    <col min="783" max="783" width="14" customWidth="1"/>
    <col min="791" max="791" width="10" customWidth="1"/>
    <col min="1035" max="1035" width="35.42578125" customWidth="1"/>
    <col min="1036" max="1036" width="10.140625" customWidth="1"/>
    <col min="1037" max="1037" width="14" customWidth="1"/>
    <col min="1038" max="1038" width="10.140625" customWidth="1"/>
    <col min="1039" max="1039" width="14" customWidth="1"/>
    <col min="1047" max="1047" width="10" customWidth="1"/>
    <col min="1291" max="1291" width="35.42578125" customWidth="1"/>
    <col min="1292" max="1292" width="10.140625" customWidth="1"/>
    <col min="1293" max="1293" width="14" customWidth="1"/>
    <col min="1294" max="1294" width="10.140625" customWidth="1"/>
    <col min="1295" max="1295" width="14" customWidth="1"/>
    <col min="1303" max="1303" width="10" customWidth="1"/>
    <col min="1547" max="1547" width="35.42578125" customWidth="1"/>
    <col min="1548" max="1548" width="10.140625" customWidth="1"/>
    <col min="1549" max="1549" width="14" customWidth="1"/>
    <col min="1550" max="1550" width="10.140625" customWidth="1"/>
    <col min="1551" max="1551" width="14" customWidth="1"/>
    <col min="1559" max="1559" width="10" customWidth="1"/>
    <col min="1803" max="1803" width="35.42578125" customWidth="1"/>
    <col min="1804" max="1804" width="10.140625" customWidth="1"/>
    <col min="1805" max="1805" width="14" customWidth="1"/>
    <col min="1806" max="1806" width="10.140625" customWidth="1"/>
    <col min="1807" max="1807" width="14" customWidth="1"/>
    <col min="1815" max="1815" width="10" customWidth="1"/>
    <col min="2059" max="2059" width="35.42578125" customWidth="1"/>
    <col min="2060" max="2060" width="10.140625" customWidth="1"/>
    <col min="2061" max="2061" width="14" customWidth="1"/>
    <col min="2062" max="2062" width="10.140625" customWidth="1"/>
    <col min="2063" max="2063" width="14" customWidth="1"/>
    <col min="2071" max="2071" width="10" customWidth="1"/>
    <col min="2315" max="2315" width="35.42578125" customWidth="1"/>
    <col min="2316" max="2316" width="10.140625" customWidth="1"/>
    <col min="2317" max="2317" width="14" customWidth="1"/>
    <col min="2318" max="2318" width="10.140625" customWidth="1"/>
    <col min="2319" max="2319" width="14" customWidth="1"/>
    <col min="2327" max="2327" width="10" customWidth="1"/>
    <col min="2571" max="2571" width="35.42578125" customWidth="1"/>
    <col min="2572" max="2572" width="10.140625" customWidth="1"/>
    <col min="2573" max="2573" width="14" customWidth="1"/>
    <col min="2574" max="2574" width="10.140625" customWidth="1"/>
    <col min="2575" max="2575" width="14" customWidth="1"/>
    <col min="2583" max="2583" width="10" customWidth="1"/>
    <col min="2827" max="2827" width="35.42578125" customWidth="1"/>
    <col min="2828" max="2828" width="10.140625" customWidth="1"/>
    <col min="2829" max="2829" width="14" customWidth="1"/>
    <col min="2830" max="2830" width="10.140625" customWidth="1"/>
    <col min="2831" max="2831" width="14" customWidth="1"/>
    <col min="2839" max="2839" width="10" customWidth="1"/>
    <col min="3083" max="3083" width="35.42578125" customWidth="1"/>
    <col min="3084" max="3084" width="10.140625" customWidth="1"/>
    <col min="3085" max="3085" width="14" customWidth="1"/>
    <col min="3086" max="3086" width="10.140625" customWidth="1"/>
    <col min="3087" max="3087" width="14" customWidth="1"/>
    <col min="3095" max="3095" width="10" customWidth="1"/>
    <col min="3339" max="3339" width="35.42578125" customWidth="1"/>
    <col min="3340" max="3340" width="10.140625" customWidth="1"/>
    <col min="3341" max="3341" width="14" customWidth="1"/>
    <col min="3342" max="3342" width="10.140625" customWidth="1"/>
    <col min="3343" max="3343" width="14" customWidth="1"/>
    <col min="3351" max="3351" width="10" customWidth="1"/>
    <col min="3595" max="3595" width="35.42578125" customWidth="1"/>
    <col min="3596" max="3596" width="10.140625" customWidth="1"/>
    <col min="3597" max="3597" width="14" customWidth="1"/>
    <col min="3598" max="3598" width="10.140625" customWidth="1"/>
    <col min="3599" max="3599" width="14" customWidth="1"/>
    <col min="3607" max="3607" width="10" customWidth="1"/>
    <col min="3851" max="3851" width="35.42578125" customWidth="1"/>
    <col min="3852" max="3852" width="10.140625" customWidth="1"/>
    <col min="3853" max="3853" width="14" customWidth="1"/>
    <col min="3854" max="3854" width="10.140625" customWidth="1"/>
    <col min="3855" max="3855" width="14" customWidth="1"/>
    <col min="3863" max="3863" width="10" customWidth="1"/>
    <col min="4107" max="4107" width="35.42578125" customWidth="1"/>
    <col min="4108" max="4108" width="10.140625" customWidth="1"/>
    <col min="4109" max="4109" width="14" customWidth="1"/>
    <col min="4110" max="4110" width="10.140625" customWidth="1"/>
    <col min="4111" max="4111" width="14" customWidth="1"/>
    <col min="4119" max="4119" width="10" customWidth="1"/>
    <col min="4363" max="4363" width="35.42578125" customWidth="1"/>
    <col min="4364" max="4364" width="10.140625" customWidth="1"/>
    <col min="4365" max="4365" width="14" customWidth="1"/>
    <col min="4366" max="4366" width="10.140625" customWidth="1"/>
    <col min="4367" max="4367" width="14" customWidth="1"/>
    <col min="4375" max="4375" width="10" customWidth="1"/>
    <col min="4619" max="4619" width="35.42578125" customWidth="1"/>
    <col min="4620" max="4620" width="10.140625" customWidth="1"/>
    <col min="4621" max="4621" width="14" customWidth="1"/>
    <col min="4622" max="4622" width="10.140625" customWidth="1"/>
    <col min="4623" max="4623" width="14" customWidth="1"/>
    <col min="4631" max="4631" width="10" customWidth="1"/>
    <col min="4875" max="4875" width="35.42578125" customWidth="1"/>
    <col min="4876" max="4876" width="10.140625" customWidth="1"/>
    <col min="4877" max="4877" width="14" customWidth="1"/>
    <col min="4878" max="4878" width="10.140625" customWidth="1"/>
    <col min="4879" max="4879" width="14" customWidth="1"/>
    <col min="4887" max="4887" width="10" customWidth="1"/>
    <col min="5131" max="5131" width="35.42578125" customWidth="1"/>
    <col min="5132" max="5132" width="10.140625" customWidth="1"/>
    <col min="5133" max="5133" width="14" customWidth="1"/>
    <col min="5134" max="5134" width="10.140625" customWidth="1"/>
    <col min="5135" max="5135" width="14" customWidth="1"/>
    <col min="5143" max="5143" width="10" customWidth="1"/>
    <col min="5387" max="5387" width="35.42578125" customWidth="1"/>
    <col min="5388" max="5388" width="10.140625" customWidth="1"/>
    <col min="5389" max="5389" width="14" customWidth="1"/>
    <col min="5390" max="5390" width="10.140625" customWidth="1"/>
    <col min="5391" max="5391" width="14" customWidth="1"/>
    <col min="5399" max="5399" width="10" customWidth="1"/>
    <col min="5643" max="5643" width="35.42578125" customWidth="1"/>
    <col min="5644" max="5644" width="10.140625" customWidth="1"/>
    <col min="5645" max="5645" width="14" customWidth="1"/>
    <col min="5646" max="5646" width="10.140625" customWidth="1"/>
    <col min="5647" max="5647" width="14" customWidth="1"/>
    <col min="5655" max="5655" width="10" customWidth="1"/>
    <col min="5899" max="5899" width="35.42578125" customWidth="1"/>
    <col min="5900" max="5900" width="10.140625" customWidth="1"/>
    <col min="5901" max="5901" width="14" customWidth="1"/>
    <col min="5902" max="5902" width="10.140625" customWidth="1"/>
    <col min="5903" max="5903" width="14" customWidth="1"/>
    <col min="5911" max="5911" width="10" customWidth="1"/>
    <col min="6155" max="6155" width="35.42578125" customWidth="1"/>
    <col min="6156" max="6156" width="10.140625" customWidth="1"/>
    <col min="6157" max="6157" width="14" customWidth="1"/>
    <col min="6158" max="6158" width="10.140625" customWidth="1"/>
    <col min="6159" max="6159" width="14" customWidth="1"/>
    <col min="6167" max="6167" width="10" customWidth="1"/>
    <col min="6411" max="6411" width="35.42578125" customWidth="1"/>
    <col min="6412" max="6412" width="10.140625" customWidth="1"/>
    <col min="6413" max="6413" width="14" customWidth="1"/>
    <col min="6414" max="6414" width="10.140625" customWidth="1"/>
    <col min="6415" max="6415" width="14" customWidth="1"/>
    <col min="6423" max="6423" width="10" customWidth="1"/>
    <col min="6667" max="6667" width="35.42578125" customWidth="1"/>
    <col min="6668" max="6668" width="10.140625" customWidth="1"/>
    <col min="6669" max="6669" width="14" customWidth="1"/>
    <col min="6670" max="6670" width="10.140625" customWidth="1"/>
    <col min="6671" max="6671" width="14" customWidth="1"/>
    <col min="6679" max="6679" width="10" customWidth="1"/>
    <col min="6923" max="6923" width="35.42578125" customWidth="1"/>
    <col min="6924" max="6924" width="10.140625" customWidth="1"/>
    <col min="6925" max="6925" width="14" customWidth="1"/>
    <col min="6926" max="6926" width="10.140625" customWidth="1"/>
    <col min="6927" max="6927" width="14" customWidth="1"/>
    <col min="6935" max="6935" width="10" customWidth="1"/>
    <col min="7179" max="7179" width="35.42578125" customWidth="1"/>
    <col min="7180" max="7180" width="10.140625" customWidth="1"/>
    <col min="7181" max="7181" width="14" customWidth="1"/>
    <col min="7182" max="7182" width="10.140625" customWidth="1"/>
    <col min="7183" max="7183" width="14" customWidth="1"/>
    <col min="7191" max="7191" width="10" customWidth="1"/>
    <col min="7435" max="7435" width="35.42578125" customWidth="1"/>
    <col min="7436" max="7436" width="10.140625" customWidth="1"/>
    <col min="7437" max="7437" width="14" customWidth="1"/>
    <col min="7438" max="7438" width="10.140625" customWidth="1"/>
    <col min="7439" max="7439" width="14" customWidth="1"/>
    <col min="7447" max="7447" width="10" customWidth="1"/>
    <col min="7691" max="7691" width="35.42578125" customWidth="1"/>
    <col min="7692" max="7692" width="10.140625" customWidth="1"/>
    <col min="7693" max="7693" width="14" customWidth="1"/>
    <col min="7694" max="7694" width="10.140625" customWidth="1"/>
    <col min="7695" max="7695" width="14" customWidth="1"/>
    <col min="7703" max="7703" width="10" customWidth="1"/>
    <col min="7947" max="7947" width="35.42578125" customWidth="1"/>
    <col min="7948" max="7948" width="10.140625" customWidth="1"/>
    <col min="7949" max="7949" width="14" customWidth="1"/>
    <col min="7950" max="7950" width="10.140625" customWidth="1"/>
    <col min="7951" max="7951" width="14" customWidth="1"/>
    <col min="7959" max="7959" width="10" customWidth="1"/>
    <col min="8203" max="8203" width="35.42578125" customWidth="1"/>
    <col min="8204" max="8204" width="10.140625" customWidth="1"/>
    <col min="8205" max="8205" width="14" customWidth="1"/>
    <col min="8206" max="8206" width="10.140625" customWidth="1"/>
    <col min="8207" max="8207" width="14" customWidth="1"/>
    <col min="8215" max="8215" width="10" customWidth="1"/>
    <col min="8459" max="8459" width="35.42578125" customWidth="1"/>
    <col min="8460" max="8460" width="10.140625" customWidth="1"/>
    <col min="8461" max="8461" width="14" customWidth="1"/>
    <col min="8462" max="8462" width="10.140625" customWidth="1"/>
    <col min="8463" max="8463" width="14" customWidth="1"/>
    <col min="8471" max="8471" width="10" customWidth="1"/>
    <col min="8715" max="8715" width="35.42578125" customWidth="1"/>
    <col min="8716" max="8716" width="10.140625" customWidth="1"/>
    <col min="8717" max="8717" width="14" customWidth="1"/>
    <col min="8718" max="8718" width="10.140625" customWidth="1"/>
    <col min="8719" max="8719" width="14" customWidth="1"/>
    <col min="8727" max="8727" width="10" customWidth="1"/>
    <col min="8971" max="8971" width="35.42578125" customWidth="1"/>
    <col min="8972" max="8972" width="10.140625" customWidth="1"/>
    <col min="8973" max="8973" width="14" customWidth="1"/>
    <col min="8974" max="8974" width="10.140625" customWidth="1"/>
    <col min="8975" max="8975" width="14" customWidth="1"/>
    <col min="8983" max="8983" width="10" customWidth="1"/>
    <col min="9227" max="9227" width="35.42578125" customWidth="1"/>
    <col min="9228" max="9228" width="10.140625" customWidth="1"/>
    <col min="9229" max="9229" width="14" customWidth="1"/>
    <col min="9230" max="9230" width="10.140625" customWidth="1"/>
    <col min="9231" max="9231" width="14" customWidth="1"/>
    <col min="9239" max="9239" width="10" customWidth="1"/>
    <col min="9483" max="9483" width="35.42578125" customWidth="1"/>
    <col min="9484" max="9484" width="10.140625" customWidth="1"/>
    <col min="9485" max="9485" width="14" customWidth="1"/>
    <col min="9486" max="9486" width="10.140625" customWidth="1"/>
    <col min="9487" max="9487" width="14" customWidth="1"/>
    <col min="9495" max="9495" width="10" customWidth="1"/>
    <col min="9739" max="9739" width="35.42578125" customWidth="1"/>
    <col min="9740" max="9740" width="10.140625" customWidth="1"/>
    <col min="9741" max="9741" width="14" customWidth="1"/>
    <col min="9742" max="9742" width="10.140625" customWidth="1"/>
    <col min="9743" max="9743" width="14" customWidth="1"/>
    <col min="9751" max="9751" width="10" customWidth="1"/>
    <col min="9995" max="9995" width="35.42578125" customWidth="1"/>
    <col min="9996" max="9996" width="10.140625" customWidth="1"/>
    <col min="9997" max="9997" width="14" customWidth="1"/>
    <col min="9998" max="9998" width="10.140625" customWidth="1"/>
    <col min="9999" max="9999" width="14" customWidth="1"/>
    <col min="10007" max="10007" width="10" customWidth="1"/>
    <col min="10251" max="10251" width="35.42578125" customWidth="1"/>
    <col min="10252" max="10252" width="10.140625" customWidth="1"/>
    <col min="10253" max="10253" width="14" customWidth="1"/>
    <col min="10254" max="10254" width="10.140625" customWidth="1"/>
    <col min="10255" max="10255" width="14" customWidth="1"/>
    <col min="10263" max="10263" width="10" customWidth="1"/>
    <col min="10507" max="10507" width="35.42578125" customWidth="1"/>
    <col min="10508" max="10508" width="10.140625" customWidth="1"/>
    <col min="10509" max="10509" width="14" customWidth="1"/>
    <col min="10510" max="10510" width="10.140625" customWidth="1"/>
    <col min="10511" max="10511" width="14" customWidth="1"/>
    <col min="10519" max="10519" width="10" customWidth="1"/>
    <col min="10763" max="10763" width="35.42578125" customWidth="1"/>
    <col min="10764" max="10764" width="10.140625" customWidth="1"/>
    <col min="10765" max="10765" width="14" customWidth="1"/>
    <col min="10766" max="10766" width="10.140625" customWidth="1"/>
    <col min="10767" max="10767" width="14" customWidth="1"/>
    <col min="10775" max="10775" width="10" customWidth="1"/>
    <col min="11019" max="11019" width="35.42578125" customWidth="1"/>
    <col min="11020" max="11020" width="10.140625" customWidth="1"/>
    <col min="11021" max="11021" width="14" customWidth="1"/>
    <col min="11022" max="11022" width="10.140625" customWidth="1"/>
    <col min="11023" max="11023" width="14" customWidth="1"/>
    <col min="11031" max="11031" width="10" customWidth="1"/>
    <col min="11275" max="11275" width="35.42578125" customWidth="1"/>
    <col min="11276" max="11276" width="10.140625" customWidth="1"/>
    <col min="11277" max="11277" width="14" customWidth="1"/>
    <col min="11278" max="11278" width="10.140625" customWidth="1"/>
    <col min="11279" max="11279" width="14" customWidth="1"/>
    <col min="11287" max="11287" width="10" customWidth="1"/>
    <col min="11531" max="11531" width="35.42578125" customWidth="1"/>
    <col min="11532" max="11532" width="10.140625" customWidth="1"/>
    <col min="11533" max="11533" width="14" customWidth="1"/>
    <col min="11534" max="11534" width="10.140625" customWidth="1"/>
    <col min="11535" max="11535" width="14" customWidth="1"/>
    <col min="11543" max="11543" width="10" customWidth="1"/>
    <col min="11787" max="11787" width="35.42578125" customWidth="1"/>
    <col min="11788" max="11788" width="10.140625" customWidth="1"/>
    <col min="11789" max="11789" width="14" customWidth="1"/>
    <col min="11790" max="11790" width="10.140625" customWidth="1"/>
    <col min="11791" max="11791" width="14" customWidth="1"/>
    <col min="11799" max="11799" width="10" customWidth="1"/>
    <col min="12043" max="12043" width="35.42578125" customWidth="1"/>
    <col min="12044" max="12044" width="10.140625" customWidth="1"/>
    <col min="12045" max="12045" width="14" customWidth="1"/>
    <col min="12046" max="12046" width="10.140625" customWidth="1"/>
    <col min="12047" max="12047" width="14" customWidth="1"/>
    <col min="12055" max="12055" width="10" customWidth="1"/>
    <col min="12299" max="12299" width="35.42578125" customWidth="1"/>
    <col min="12300" max="12300" width="10.140625" customWidth="1"/>
    <col min="12301" max="12301" width="14" customWidth="1"/>
    <col min="12302" max="12302" width="10.140625" customWidth="1"/>
    <col min="12303" max="12303" width="14" customWidth="1"/>
    <col min="12311" max="12311" width="10" customWidth="1"/>
    <col min="12555" max="12555" width="35.42578125" customWidth="1"/>
    <col min="12556" max="12556" width="10.140625" customWidth="1"/>
    <col min="12557" max="12557" width="14" customWidth="1"/>
    <col min="12558" max="12558" width="10.140625" customWidth="1"/>
    <col min="12559" max="12559" width="14" customWidth="1"/>
    <col min="12567" max="12567" width="10" customWidth="1"/>
    <col min="12811" max="12811" width="35.42578125" customWidth="1"/>
    <col min="12812" max="12812" width="10.140625" customWidth="1"/>
    <col min="12813" max="12813" width="14" customWidth="1"/>
    <col min="12814" max="12814" width="10.140625" customWidth="1"/>
    <col min="12815" max="12815" width="14" customWidth="1"/>
    <col min="12823" max="12823" width="10" customWidth="1"/>
    <col min="13067" max="13067" width="35.42578125" customWidth="1"/>
    <col min="13068" max="13068" width="10.140625" customWidth="1"/>
    <col min="13069" max="13069" width="14" customWidth="1"/>
    <col min="13070" max="13070" width="10.140625" customWidth="1"/>
    <col min="13071" max="13071" width="14" customWidth="1"/>
    <col min="13079" max="13079" width="10" customWidth="1"/>
    <col min="13323" max="13323" width="35.42578125" customWidth="1"/>
    <col min="13324" max="13324" width="10.140625" customWidth="1"/>
    <col min="13325" max="13325" width="14" customWidth="1"/>
    <col min="13326" max="13326" width="10.140625" customWidth="1"/>
    <col min="13327" max="13327" width="14" customWidth="1"/>
    <col min="13335" max="13335" width="10" customWidth="1"/>
    <col min="13579" max="13579" width="35.42578125" customWidth="1"/>
    <col min="13580" max="13580" width="10.140625" customWidth="1"/>
    <col min="13581" max="13581" width="14" customWidth="1"/>
    <col min="13582" max="13582" width="10.140625" customWidth="1"/>
    <col min="13583" max="13583" width="14" customWidth="1"/>
    <col min="13591" max="13591" width="10" customWidth="1"/>
    <col min="13835" max="13835" width="35.42578125" customWidth="1"/>
    <col min="13836" max="13836" width="10.140625" customWidth="1"/>
    <col min="13837" max="13837" width="14" customWidth="1"/>
    <col min="13838" max="13838" width="10.140625" customWidth="1"/>
    <col min="13839" max="13839" width="14" customWidth="1"/>
    <col min="13847" max="13847" width="10" customWidth="1"/>
    <col min="14091" max="14091" width="35.42578125" customWidth="1"/>
    <col min="14092" max="14092" width="10.140625" customWidth="1"/>
    <col min="14093" max="14093" width="14" customWidth="1"/>
    <col min="14094" max="14094" width="10.140625" customWidth="1"/>
    <col min="14095" max="14095" width="14" customWidth="1"/>
    <col min="14103" max="14103" width="10" customWidth="1"/>
    <col min="14347" max="14347" width="35.42578125" customWidth="1"/>
    <col min="14348" max="14348" width="10.140625" customWidth="1"/>
    <col min="14349" max="14349" width="14" customWidth="1"/>
    <col min="14350" max="14350" width="10.140625" customWidth="1"/>
    <col min="14351" max="14351" width="14" customWidth="1"/>
    <col min="14359" max="14359" width="10" customWidth="1"/>
    <col min="14603" max="14603" width="35.42578125" customWidth="1"/>
    <col min="14604" max="14604" width="10.140625" customWidth="1"/>
    <col min="14605" max="14605" width="14" customWidth="1"/>
    <col min="14606" max="14606" width="10.140625" customWidth="1"/>
    <col min="14607" max="14607" width="14" customWidth="1"/>
    <col min="14615" max="14615" width="10" customWidth="1"/>
    <col min="14859" max="14859" width="35.42578125" customWidth="1"/>
    <col min="14860" max="14860" width="10.140625" customWidth="1"/>
    <col min="14861" max="14861" width="14" customWidth="1"/>
    <col min="14862" max="14862" width="10.140625" customWidth="1"/>
    <col min="14863" max="14863" width="14" customWidth="1"/>
    <col min="14871" max="14871" width="10" customWidth="1"/>
    <col min="15115" max="15115" width="35.42578125" customWidth="1"/>
    <col min="15116" max="15116" width="10.140625" customWidth="1"/>
    <col min="15117" max="15117" width="14" customWidth="1"/>
    <col min="15118" max="15118" width="10.140625" customWidth="1"/>
    <col min="15119" max="15119" width="14" customWidth="1"/>
    <col min="15127" max="15127" width="10" customWidth="1"/>
    <col min="15371" max="15371" width="35.42578125" customWidth="1"/>
    <col min="15372" max="15372" width="10.140625" customWidth="1"/>
    <col min="15373" max="15373" width="14" customWidth="1"/>
    <col min="15374" max="15374" width="10.140625" customWidth="1"/>
    <col min="15375" max="15375" width="14" customWidth="1"/>
    <col min="15383" max="15383" width="10" customWidth="1"/>
    <col min="15627" max="15627" width="35.42578125" customWidth="1"/>
    <col min="15628" max="15628" width="10.140625" customWidth="1"/>
    <col min="15629" max="15629" width="14" customWidth="1"/>
    <col min="15630" max="15630" width="10.140625" customWidth="1"/>
    <col min="15631" max="15631" width="14" customWidth="1"/>
    <col min="15639" max="15639" width="10" customWidth="1"/>
    <col min="15883" max="15883" width="35.42578125" customWidth="1"/>
    <col min="15884" max="15884" width="10.140625" customWidth="1"/>
    <col min="15885" max="15885" width="14" customWidth="1"/>
    <col min="15886" max="15886" width="10.140625" customWidth="1"/>
    <col min="15887" max="15887" width="14" customWidth="1"/>
    <col min="15895" max="15895" width="10" customWidth="1"/>
    <col min="16139" max="16139" width="35.42578125" customWidth="1"/>
    <col min="16140" max="16140" width="10.140625" customWidth="1"/>
    <col min="16141" max="16141" width="14" customWidth="1"/>
    <col min="16142" max="16142" width="10.140625" customWidth="1"/>
    <col min="16143" max="16143" width="14" customWidth="1"/>
    <col min="16151" max="16151" width="10" customWidth="1"/>
  </cols>
  <sheetData>
    <row r="1" spans="1:22">
      <c r="B1" s="41" t="s">
        <v>30</v>
      </c>
      <c r="C1" s="41"/>
    </row>
    <row r="2" spans="1:22">
      <c r="B2" s="41" t="s">
        <v>58</v>
      </c>
      <c r="C2" s="41"/>
    </row>
    <row r="3" spans="1:22">
      <c r="B3" s="41" t="s">
        <v>16</v>
      </c>
      <c r="C3" s="41"/>
      <c r="E3" s="2" t="s">
        <v>59</v>
      </c>
      <c r="U3" s="2"/>
      <c r="V3" s="2" t="s">
        <v>92</v>
      </c>
    </row>
    <row r="4" spans="1:22">
      <c r="A4" s="2" t="s">
        <v>11</v>
      </c>
      <c r="B4" s="106"/>
      <c r="C4" s="106"/>
    </row>
    <row r="5" spans="1:22">
      <c r="B5" s="106"/>
      <c r="C5" s="106"/>
    </row>
    <row r="6" spans="1:22">
      <c r="A6" t="s">
        <v>0</v>
      </c>
      <c r="B6" s="46">
        <f>'Disability $ details 05-06'!B6*0.029</f>
        <v>15.66</v>
      </c>
      <c r="C6" s="46"/>
      <c r="D6" s="22" t="s">
        <v>217</v>
      </c>
      <c r="E6" t="s">
        <v>354</v>
      </c>
      <c r="V6" s="38" t="s">
        <v>344</v>
      </c>
    </row>
    <row r="7" spans="1:22">
      <c r="A7" t="s">
        <v>1</v>
      </c>
      <c r="B7" s="46">
        <f>'Disability $ details 05-06'!B7*0.029</f>
        <v>25.375</v>
      </c>
      <c r="C7" s="46"/>
      <c r="D7" s="22" t="s">
        <v>217</v>
      </c>
      <c r="E7" t="s">
        <v>218</v>
      </c>
      <c r="Q7" t="s">
        <v>93</v>
      </c>
    </row>
    <row r="8" spans="1:22">
      <c r="A8" t="s">
        <v>14</v>
      </c>
      <c r="B8" s="46">
        <f>'Disability $ details 05-06'!B8*0.029</f>
        <v>2.4650000000000003</v>
      </c>
      <c r="C8" s="46"/>
      <c r="D8" s="22" t="s">
        <v>217</v>
      </c>
      <c r="E8" t="s">
        <v>446</v>
      </c>
    </row>
    <row r="9" spans="1:22">
      <c r="A9" t="s">
        <v>2</v>
      </c>
      <c r="B9" s="46">
        <f>'Disability $ details 05-06'!B9*0.029</f>
        <v>0.14500000000000002</v>
      </c>
      <c r="C9" s="46"/>
      <c r="D9" s="22" t="s">
        <v>217</v>
      </c>
    </row>
    <row r="10" spans="1:22">
      <c r="A10" t="s">
        <v>68</v>
      </c>
      <c r="B10" s="46">
        <f>'Disability $ details 05-06'!B10*0.029</f>
        <v>0</v>
      </c>
      <c r="C10" s="46"/>
      <c r="D10" s="22" t="s">
        <v>217</v>
      </c>
    </row>
    <row r="11" spans="1:22">
      <c r="A11" t="s">
        <v>3</v>
      </c>
      <c r="B11" s="46">
        <f>'Disability $ details 05-06'!B11*0.029</f>
        <v>3.335</v>
      </c>
      <c r="C11" s="46"/>
      <c r="D11" s="22" t="s">
        <v>217</v>
      </c>
    </row>
    <row r="12" spans="1:22">
      <c r="A12" t="s">
        <v>15</v>
      </c>
      <c r="B12" s="46">
        <f>'Disability $ details 05-06'!B12*0.029</f>
        <v>2.6100000000000003</v>
      </c>
      <c r="C12" s="46"/>
      <c r="D12" s="22" t="s">
        <v>217</v>
      </c>
      <c r="U12" s="7"/>
    </row>
    <row r="13" spans="1:22">
      <c r="A13" s="3" t="s">
        <v>24</v>
      </c>
      <c r="B13" s="104">
        <f>SUM(B6:B12)</f>
        <v>49.59</v>
      </c>
      <c r="C13" s="104"/>
      <c r="D13" s="22" t="s">
        <v>217</v>
      </c>
      <c r="U13" s="7"/>
    </row>
    <row r="14" spans="1:22">
      <c r="B14" s="46"/>
      <c r="C14" s="46"/>
      <c r="D14" s="22"/>
      <c r="U14" s="7"/>
    </row>
    <row r="15" spans="1:22">
      <c r="A15" s="2" t="s">
        <v>4</v>
      </c>
      <c r="B15" s="46"/>
      <c r="C15" s="46"/>
      <c r="D15" s="22"/>
      <c r="U15" s="7"/>
    </row>
    <row r="16" spans="1:22">
      <c r="A16" t="s">
        <v>5</v>
      </c>
      <c r="B16" s="46">
        <v>233.8</v>
      </c>
      <c r="C16" s="46"/>
      <c r="D16" s="22"/>
      <c r="E16" t="s">
        <v>438</v>
      </c>
      <c r="U16" s="7"/>
      <c r="V16" t="s">
        <v>220</v>
      </c>
    </row>
    <row r="17" spans="1:22">
      <c r="A17" t="s">
        <v>69</v>
      </c>
      <c r="B17" s="105"/>
      <c r="C17" s="105"/>
      <c r="D17" s="22"/>
      <c r="U17" s="7"/>
    </row>
    <row r="18" spans="1:22">
      <c r="A18" t="s">
        <v>6</v>
      </c>
      <c r="B18" s="46">
        <v>37.1</v>
      </c>
      <c r="C18" s="46"/>
      <c r="D18" s="22"/>
      <c r="E18" t="s">
        <v>316</v>
      </c>
      <c r="U18" s="7"/>
      <c r="V18" s="38" t="s">
        <v>72</v>
      </c>
    </row>
    <row r="19" spans="1:22">
      <c r="A19" s="3" t="s">
        <v>24</v>
      </c>
      <c r="B19" s="104">
        <f>SUM(B16:B18)</f>
        <v>270.90000000000003</v>
      </c>
      <c r="C19" s="104"/>
      <c r="D19" s="22"/>
      <c r="U19" s="7"/>
    </row>
    <row r="20" spans="1:22">
      <c r="A20" s="39"/>
      <c r="B20" s="46"/>
      <c r="C20" s="46"/>
      <c r="D20" s="247"/>
      <c r="U20" s="7"/>
    </row>
    <row r="21" spans="1:22">
      <c r="A21" s="39" t="s">
        <v>101</v>
      </c>
      <c r="B21" s="46">
        <f>1656*0.071</f>
        <v>117.57599999999999</v>
      </c>
      <c r="C21" s="46" t="s">
        <v>437</v>
      </c>
      <c r="D21" s="247"/>
      <c r="E21" t="s">
        <v>333</v>
      </c>
      <c r="U21" s="7"/>
      <c r="V21" t="s">
        <v>102</v>
      </c>
    </row>
    <row r="22" spans="1:22">
      <c r="A22" s="258" t="s">
        <v>221</v>
      </c>
      <c r="B22" s="104">
        <f>SUM(B21)</f>
        <v>117.57599999999999</v>
      </c>
      <c r="C22" s="104"/>
      <c r="D22" s="247"/>
      <c r="E22" t="s">
        <v>425</v>
      </c>
      <c r="U22" s="7"/>
      <c r="V22" t="s">
        <v>103</v>
      </c>
    </row>
    <row r="23" spans="1:22">
      <c r="A23" s="258"/>
      <c r="B23" s="104"/>
      <c r="C23" s="104"/>
      <c r="D23" s="247"/>
      <c r="U23" s="7"/>
    </row>
    <row r="24" spans="1:22">
      <c r="A24" s="50" t="s">
        <v>334</v>
      </c>
      <c r="B24" s="46"/>
      <c r="C24" s="46"/>
      <c r="D24" s="247"/>
      <c r="R24" s="9"/>
      <c r="S24" s="9"/>
      <c r="U24" s="7"/>
    </row>
    <row r="25" spans="1:22">
      <c r="A25" s="39" t="s">
        <v>335</v>
      </c>
      <c r="B25" s="46">
        <f>'SA by provi 05-06'!B6*0.55</f>
        <v>119.46000000000001</v>
      </c>
      <c r="C25" s="46" t="s">
        <v>237</v>
      </c>
      <c r="D25" s="44"/>
      <c r="E25" s="75" t="s">
        <v>249</v>
      </c>
      <c r="U25" s="7"/>
      <c r="V25" s="38" t="s">
        <v>306</v>
      </c>
    </row>
    <row r="26" spans="1:22">
      <c r="A26" s="39"/>
      <c r="B26" s="46"/>
      <c r="C26" s="46"/>
      <c r="D26" s="44"/>
      <c r="E26" s="75" t="s">
        <v>662</v>
      </c>
      <c r="I26" s="39"/>
      <c r="J26" s="39"/>
      <c r="K26" s="39"/>
      <c r="L26" s="39"/>
      <c r="M26" s="39"/>
      <c r="N26" s="39"/>
      <c r="O26" s="39"/>
      <c r="U26" s="7"/>
    </row>
    <row r="27" spans="1:22">
      <c r="A27" s="39" t="s">
        <v>12</v>
      </c>
      <c r="B27" s="46">
        <f>35.1*0.55</f>
        <v>19.305000000000003</v>
      </c>
      <c r="C27" s="46" t="s">
        <v>237</v>
      </c>
      <c r="D27" s="247"/>
      <c r="E27" t="s">
        <v>656</v>
      </c>
      <c r="I27" s="39"/>
      <c r="J27" s="39"/>
      <c r="K27" s="39"/>
      <c r="L27" s="39"/>
      <c r="M27" s="39"/>
      <c r="N27" s="39"/>
      <c r="O27" s="39"/>
      <c r="U27" s="7"/>
    </row>
    <row r="28" spans="1:22">
      <c r="A28" s="258" t="s">
        <v>24</v>
      </c>
      <c r="B28" s="104">
        <f>SUM(B25:B27)</f>
        <v>138.76500000000001</v>
      </c>
      <c r="C28" s="104" t="s">
        <v>237</v>
      </c>
      <c r="D28" s="247"/>
      <c r="U28" s="7"/>
    </row>
    <row r="29" spans="1:22">
      <c r="A29" s="258"/>
      <c r="B29" s="104"/>
      <c r="C29" s="104"/>
      <c r="D29" s="247"/>
      <c r="U29" s="7"/>
    </row>
    <row r="30" spans="1:22">
      <c r="A30" s="50" t="s">
        <v>13</v>
      </c>
      <c r="B30" s="46"/>
      <c r="C30" s="46"/>
      <c r="D30" s="247"/>
      <c r="U30" s="7"/>
    </row>
    <row r="31" spans="1:22">
      <c r="A31" s="39" t="s">
        <v>7</v>
      </c>
      <c r="B31" s="46">
        <v>151.80000000000001</v>
      </c>
      <c r="C31" s="46"/>
      <c r="D31" s="247">
        <v>2005</v>
      </c>
      <c r="E31" t="s">
        <v>96</v>
      </c>
      <c r="U31" s="7"/>
      <c r="V31" t="s">
        <v>324</v>
      </c>
    </row>
    <row r="32" spans="1:22">
      <c r="A32" s="39" t="s">
        <v>8</v>
      </c>
      <c r="B32" s="46"/>
      <c r="C32" s="46"/>
      <c r="D32" s="247"/>
      <c r="E32" t="s">
        <v>70</v>
      </c>
      <c r="U32" s="7"/>
    </row>
    <row r="33" spans="1:22">
      <c r="A33" s="258" t="s">
        <v>57</v>
      </c>
      <c r="B33" s="104">
        <f>SUM(B31:B32)</f>
        <v>151.80000000000001</v>
      </c>
      <c r="C33" s="104"/>
      <c r="D33" s="247"/>
      <c r="U33" s="7"/>
    </row>
    <row r="34" spans="1:22">
      <c r="A34" s="39" t="s">
        <v>64</v>
      </c>
      <c r="B34" s="46"/>
      <c r="C34" s="46"/>
      <c r="D34" s="247"/>
      <c r="U34" s="7"/>
    </row>
    <row r="35" spans="1:22">
      <c r="A35" s="39" t="s">
        <v>9</v>
      </c>
      <c r="B35" s="46">
        <v>11</v>
      </c>
      <c r="C35" s="46"/>
      <c r="D35" s="247">
        <v>2005</v>
      </c>
      <c r="E35" t="s">
        <v>61</v>
      </c>
      <c r="U35" s="7"/>
      <c r="V35" t="s">
        <v>75</v>
      </c>
    </row>
    <row r="36" spans="1:22">
      <c r="A36" s="39" t="s">
        <v>10</v>
      </c>
      <c r="B36" s="46">
        <v>83</v>
      </c>
      <c r="C36" s="46"/>
      <c r="D36" s="247"/>
      <c r="U36" s="7"/>
      <c r="V36" t="s">
        <v>430</v>
      </c>
    </row>
    <row r="37" spans="1:22">
      <c r="A37" s="258" t="s">
        <v>24</v>
      </c>
      <c r="B37" s="104">
        <f>SUM(B35:B36)</f>
        <v>94</v>
      </c>
      <c r="C37" s="104"/>
      <c r="D37" s="247"/>
      <c r="U37" s="7"/>
    </row>
    <row r="38" spans="1:22">
      <c r="A38" s="39"/>
      <c r="B38" s="46"/>
      <c r="C38" s="46"/>
      <c r="D38" s="247"/>
    </row>
    <row r="39" spans="1:22" ht="15.75">
      <c r="A39" s="48" t="s">
        <v>23</v>
      </c>
      <c r="B39" s="49">
        <f>SUM(B13+B19+B22+B28+B33+B37)</f>
        <v>822.63100000000009</v>
      </c>
      <c r="C39" s="49" t="s">
        <v>237</v>
      </c>
      <c r="D39" s="39"/>
    </row>
    <row r="40" spans="1:22" ht="15.75">
      <c r="A40" s="48"/>
      <c r="B40" s="48"/>
      <c r="C40" s="48"/>
      <c r="D40" s="39"/>
    </row>
    <row r="41" spans="1:22" ht="15.75">
      <c r="A41" s="106" t="s">
        <v>674</v>
      </c>
      <c r="B41" s="48"/>
      <c r="C41" s="48"/>
      <c r="D41" s="39"/>
    </row>
    <row r="42" spans="1:22">
      <c r="B42" s="39"/>
      <c r="C42" s="39"/>
    </row>
    <row r="43" spans="1:22">
      <c r="B43" s="41" t="s">
        <v>30</v>
      </c>
      <c r="C43" s="41"/>
    </row>
    <row r="44" spans="1:22">
      <c r="B44" s="41" t="s">
        <v>181</v>
      </c>
      <c r="C44" s="41"/>
    </row>
    <row r="45" spans="1:22">
      <c r="B45" s="41" t="s">
        <v>16</v>
      </c>
      <c r="C45" s="41"/>
    </row>
    <row r="46" spans="1:22">
      <c r="A46" s="2" t="s">
        <v>11</v>
      </c>
      <c r="B46" s="106"/>
      <c r="C46" s="106"/>
    </row>
    <row r="47" spans="1:22">
      <c r="B47" s="106"/>
      <c r="C47" s="106"/>
    </row>
    <row r="48" spans="1:22">
      <c r="A48" t="s">
        <v>0</v>
      </c>
      <c r="B48" s="46">
        <f>'CAN Disability details 09-10'!B6*0.028</f>
        <v>17.36</v>
      </c>
      <c r="C48" s="46"/>
      <c r="D48" s="22" t="s">
        <v>217</v>
      </c>
      <c r="E48" t="s">
        <v>354</v>
      </c>
      <c r="V48" s="38" t="s">
        <v>344</v>
      </c>
    </row>
    <row r="49" spans="1:31">
      <c r="A49" t="s">
        <v>1</v>
      </c>
      <c r="B49" s="46">
        <f>'CAN Disability details 09-10'!B7*0.028</f>
        <v>28</v>
      </c>
      <c r="C49" s="46"/>
      <c r="D49" s="22" t="s">
        <v>217</v>
      </c>
      <c r="E49" t="s">
        <v>218</v>
      </c>
    </row>
    <row r="50" spans="1:31">
      <c r="A50" t="s">
        <v>14</v>
      </c>
      <c r="B50" s="46">
        <f>'CAN Disability details 09-10'!B8*0.028</f>
        <v>2.7160000000000002</v>
      </c>
      <c r="C50" s="46"/>
      <c r="D50" s="22" t="s">
        <v>217</v>
      </c>
      <c r="E50" t="s">
        <v>447</v>
      </c>
    </row>
    <row r="51" spans="1:31">
      <c r="A51" t="s">
        <v>2</v>
      </c>
      <c r="B51" s="46">
        <f>'CAN Disability details 09-10'!B9*0.028</f>
        <v>0.14000000000000001</v>
      </c>
      <c r="C51" s="46"/>
      <c r="D51" s="22" t="s">
        <v>217</v>
      </c>
    </row>
    <row r="52" spans="1:31">
      <c r="A52" t="s">
        <v>68</v>
      </c>
      <c r="B52" s="46">
        <f>'CAN Disability details 09-10'!B10*0.028</f>
        <v>0</v>
      </c>
      <c r="C52" s="46"/>
      <c r="D52" s="22" t="s">
        <v>217</v>
      </c>
      <c r="E52" s="7"/>
    </row>
    <row r="53" spans="1:31">
      <c r="A53" t="s">
        <v>3</v>
      </c>
      <c r="B53" s="46">
        <f>'CAN Disability details 09-10'!B11*0.028</f>
        <v>3.64</v>
      </c>
      <c r="C53" s="46"/>
      <c r="D53" s="22" t="s">
        <v>217</v>
      </c>
      <c r="E53" s="7"/>
    </row>
    <row r="54" spans="1:31">
      <c r="A54" t="s">
        <v>15</v>
      </c>
      <c r="B54" s="46">
        <f>'CAN Disability details 09-10'!B12*0.028</f>
        <v>5.5019999999999998</v>
      </c>
      <c r="C54" s="46"/>
      <c r="D54" s="22" t="s">
        <v>217</v>
      </c>
      <c r="E54" s="7"/>
    </row>
    <row r="55" spans="1:31">
      <c r="A55" s="3" t="s">
        <v>24</v>
      </c>
      <c r="B55" s="104">
        <f>SUM(B48:B54)</f>
        <v>57.358000000000004</v>
      </c>
      <c r="C55" s="104"/>
      <c r="E55" s="7"/>
    </row>
    <row r="56" spans="1:31">
      <c r="B56" s="46"/>
      <c r="C56" s="46"/>
    </row>
    <row r="57" spans="1:31">
      <c r="A57" s="2" t="s">
        <v>4</v>
      </c>
      <c r="B57" s="46"/>
      <c r="C57" s="46"/>
    </row>
    <row r="58" spans="1:31">
      <c r="A58" t="s">
        <v>5</v>
      </c>
      <c r="B58" s="46">
        <v>248.2</v>
      </c>
      <c r="C58" s="46"/>
      <c r="E58" t="s">
        <v>325</v>
      </c>
    </row>
    <row r="59" spans="1:31">
      <c r="A59" t="s">
        <v>69</v>
      </c>
      <c r="B59" s="105"/>
      <c r="C59" s="105"/>
    </row>
    <row r="60" spans="1:31">
      <c r="A60" t="s">
        <v>6</v>
      </c>
      <c r="B60" s="114">
        <v>50</v>
      </c>
      <c r="C60" s="114"/>
      <c r="D60" s="103"/>
      <c r="E60" s="103" t="s">
        <v>394</v>
      </c>
      <c r="F60" s="103"/>
      <c r="G60" s="103"/>
      <c r="H60" s="103"/>
      <c r="I60" s="103"/>
      <c r="J60" s="103"/>
      <c r="K60" s="103"/>
      <c r="L60" s="103"/>
      <c r="M60" s="103"/>
      <c r="N60" s="103"/>
      <c r="O60" s="103"/>
      <c r="P60" s="103"/>
      <c r="Q60" s="103"/>
      <c r="R60" s="103"/>
      <c r="S60" s="103"/>
      <c r="T60" s="103"/>
      <c r="U60" s="111"/>
      <c r="V60" s="110" t="s">
        <v>395</v>
      </c>
      <c r="W60" s="103"/>
      <c r="X60" s="103"/>
      <c r="Y60" s="103"/>
      <c r="Z60" s="103"/>
      <c r="AA60" s="103"/>
      <c r="AB60" s="103"/>
      <c r="AC60" s="103"/>
      <c r="AD60" s="103"/>
      <c r="AE60" s="103"/>
    </row>
    <row r="61" spans="1:31">
      <c r="A61" s="3" t="s">
        <v>24</v>
      </c>
      <c r="B61" s="112">
        <f>SUM(B58:B60)</f>
        <v>298.2</v>
      </c>
      <c r="C61" s="112"/>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row>
    <row r="62" spans="1:31">
      <c r="B62" s="46"/>
      <c r="C62" s="46"/>
    </row>
    <row r="63" spans="1:31">
      <c r="A63" t="s">
        <v>478</v>
      </c>
      <c r="B63" s="104">
        <f>'CAN Disability details 09-10'!B22*0.075</f>
        <v>152.26499999999999</v>
      </c>
      <c r="C63" s="104" t="s">
        <v>437</v>
      </c>
      <c r="E63" t="s">
        <v>457</v>
      </c>
    </row>
    <row r="64" spans="1:31">
      <c r="A64" s="3"/>
      <c r="B64" s="104"/>
      <c r="C64" s="104"/>
      <c r="E64" t="s">
        <v>466</v>
      </c>
    </row>
    <row r="65" spans="1:22">
      <c r="A65" s="2" t="s">
        <v>334</v>
      </c>
      <c r="B65" s="46"/>
      <c r="C65" s="46"/>
    </row>
    <row r="66" spans="1:22">
      <c r="A66" s="103" t="s">
        <v>335</v>
      </c>
      <c r="B66" s="46">
        <f>'SA $ by prov 09-10'!B6*0.55</f>
        <v>122.87000000000002</v>
      </c>
      <c r="C66" s="46" t="s">
        <v>237</v>
      </c>
      <c r="D66" s="39"/>
      <c r="E66" s="150" t="s">
        <v>448</v>
      </c>
      <c r="F66" s="39"/>
      <c r="G66" s="39"/>
      <c r="H66" s="39"/>
      <c r="I66" s="39"/>
      <c r="J66" s="39"/>
      <c r="K66" s="39"/>
      <c r="L66" s="39"/>
      <c r="M66" s="39"/>
      <c r="N66" s="39"/>
      <c r="O66" s="39"/>
    </row>
    <row r="67" spans="1:22">
      <c r="A67" s="103"/>
      <c r="B67" s="46"/>
      <c r="C67" s="46"/>
      <c r="D67" s="39"/>
      <c r="E67" s="150" t="s">
        <v>663</v>
      </c>
      <c r="F67" s="39"/>
      <c r="G67" s="39"/>
      <c r="H67" s="39"/>
      <c r="I67" s="39"/>
      <c r="J67" s="39"/>
      <c r="K67" s="39"/>
      <c r="L67" s="39"/>
      <c r="M67" s="39"/>
      <c r="N67" s="39"/>
      <c r="O67" s="39"/>
      <c r="V67" t="s">
        <v>185</v>
      </c>
    </row>
    <row r="68" spans="1:22">
      <c r="A68" s="103" t="s">
        <v>12</v>
      </c>
      <c r="B68" s="46">
        <f>32.8*0.55</f>
        <v>18.04</v>
      </c>
      <c r="C68" s="46" t="s">
        <v>237</v>
      </c>
      <c r="D68" s="39"/>
      <c r="E68" s="39" t="s">
        <v>656</v>
      </c>
      <c r="F68" s="39"/>
      <c r="G68" s="39"/>
      <c r="H68" s="39"/>
      <c r="I68" s="39"/>
      <c r="J68" s="39"/>
      <c r="K68" s="39"/>
      <c r="L68" s="39"/>
      <c r="M68" s="39"/>
      <c r="N68" s="39"/>
      <c r="O68" s="39"/>
    </row>
    <row r="69" spans="1:22">
      <c r="A69" s="115" t="s">
        <v>24</v>
      </c>
      <c r="B69" s="104">
        <f>SUM(B66:B68)</f>
        <v>140.91000000000003</v>
      </c>
      <c r="C69" s="104" t="s">
        <v>237</v>
      </c>
    </row>
    <row r="70" spans="1:22">
      <c r="A70" s="3"/>
      <c r="B70" s="104"/>
      <c r="C70" s="104"/>
    </row>
    <row r="71" spans="1:22">
      <c r="A71" s="2" t="s">
        <v>13</v>
      </c>
      <c r="B71" s="46"/>
      <c r="C71" s="46"/>
    </row>
    <row r="72" spans="1:22">
      <c r="A72" t="s">
        <v>7</v>
      </c>
      <c r="B72" s="46">
        <v>150.6</v>
      </c>
      <c r="C72" s="46"/>
      <c r="E72" t="s">
        <v>215</v>
      </c>
    </row>
    <row r="73" spans="1:22">
      <c r="A73" t="s">
        <v>8</v>
      </c>
      <c r="B73" s="46"/>
      <c r="C73" s="46"/>
      <c r="E73" t="s">
        <v>167</v>
      </c>
    </row>
    <row r="74" spans="1:22">
      <c r="A74" s="3" t="s">
        <v>57</v>
      </c>
      <c r="B74" s="104">
        <f>SUM(B72:B73)</f>
        <v>150.6</v>
      </c>
      <c r="C74" s="104"/>
    </row>
    <row r="75" spans="1:22">
      <c r="A75" s="3"/>
      <c r="B75" s="104"/>
      <c r="C75" s="104"/>
    </row>
    <row r="76" spans="1:22">
      <c r="A76" t="s">
        <v>64</v>
      </c>
      <c r="B76" s="46"/>
      <c r="C76" s="46"/>
    </row>
    <row r="77" spans="1:22">
      <c r="A77" t="s">
        <v>9</v>
      </c>
      <c r="B77" s="46">
        <v>24</v>
      </c>
      <c r="C77" s="46"/>
      <c r="E77" t="s">
        <v>207</v>
      </c>
    </row>
    <row r="78" spans="1:22">
      <c r="A78" t="s">
        <v>10</v>
      </c>
      <c r="B78" s="46">
        <v>98</v>
      </c>
      <c r="C78" s="46"/>
      <c r="E78" t="s">
        <v>207</v>
      </c>
    </row>
    <row r="79" spans="1:22">
      <c r="A79" s="3" t="s">
        <v>24</v>
      </c>
      <c r="B79" s="104">
        <f>SUM(B77:B78)</f>
        <v>122</v>
      </c>
      <c r="C79" s="104"/>
      <c r="E79" t="s">
        <v>429</v>
      </c>
    </row>
    <row r="80" spans="1:22">
      <c r="B80" s="46"/>
      <c r="C80" s="46"/>
    </row>
    <row r="81" spans="1:21" ht="15.75">
      <c r="A81" s="48" t="s">
        <v>23</v>
      </c>
      <c r="B81" s="49">
        <f>SUM(B55+B61+B63+B68+B66+B74+B79)</f>
        <v>921.33299999999997</v>
      </c>
      <c r="C81" s="49" t="s">
        <v>237</v>
      </c>
      <c r="D81" s="39"/>
    </row>
    <row r="82" spans="1:21">
      <c r="A82" s="39"/>
      <c r="B82" s="39"/>
      <c r="C82" s="39"/>
      <c r="D82" s="39"/>
    </row>
    <row r="83" spans="1:21">
      <c r="A83" s="106" t="s">
        <v>674</v>
      </c>
      <c r="B83" s="39"/>
      <c r="C83" s="39"/>
      <c r="D83" s="39"/>
    </row>
    <row r="84" spans="1:21">
      <c r="A84" s="106"/>
      <c r="B84" s="39"/>
      <c r="C84" s="39"/>
      <c r="D84" s="39"/>
    </row>
    <row r="85" spans="1:21">
      <c r="A85" s="106"/>
      <c r="B85" s="39"/>
      <c r="C85" s="39"/>
      <c r="D85" s="39"/>
    </row>
    <row r="86" spans="1:21">
      <c r="B86" s="41" t="s">
        <v>30</v>
      </c>
      <c r="C86" s="41"/>
    </row>
    <row r="87" spans="1:21">
      <c r="B87" s="41" t="s">
        <v>514</v>
      </c>
      <c r="C87" s="41"/>
    </row>
    <row r="88" spans="1:21">
      <c r="B88" s="41" t="s">
        <v>16</v>
      </c>
      <c r="C88" s="41"/>
    </row>
    <row r="89" spans="1:21">
      <c r="A89" s="2" t="s">
        <v>11</v>
      </c>
      <c r="B89" s="106"/>
      <c r="C89" s="106"/>
    </row>
    <row r="90" spans="1:21">
      <c r="B90" s="106"/>
      <c r="C90" s="106"/>
    </row>
    <row r="91" spans="1:21">
      <c r="A91" t="s">
        <v>0</v>
      </c>
      <c r="B91" s="143">
        <f>'CAN Disability details 10-11'!B6*0.027</f>
        <v>17.55</v>
      </c>
      <c r="C91" s="46"/>
      <c r="D91" s="22" t="s">
        <v>217</v>
      </c>
      <c r="E91" s="52" t="s">
        <v>811</v>
      </c>
      <c r="R91" s="145"/>
      <c r="S91" s="145"/>
      <c r="T91" s="145"/>
      <c r="U91" s="145" t="s">
        <v>810</v>
      </c>
    </row>
    <row r="92" spans="1:21">
      <c r="A92" t="s">
        <v>1</v>
      </c>
      <c r="B92" s="143">
        <f>'CAN Disability details 10-11'!B7*0.027</f>
        <v>29.16</v>
      </c>
      <c r="C92" s="46"/>
      <c r="D92" s="22" t="s">
        <v>217</v>
      </c>
      <c r="E92" s="52" t="s">
        <v>757</v>
      </c>
      <c r="I92" t="s">
        <v>93</v>
      </c>
      <c r="R92" s="39"/>
      <c r="S92" s="39"/>
      <c r="T92" s="39"/>
      <c r="U92" s="39" t="s">
        <v>752</v>
      </c>
    </row>
    <row r="93" spans="1:21">
      <c r="A93" t="s">
        <v>14</v>
      </c>
      <c r="B93" s="46">
        <f>'CAN Disability details 10-11'!B8*0.027</f>
        <v>2.7</v>
      </c>
      <c r="C93" s="46"/>
      <c r="D93" s="22" t="s">
        <v>217</v>
      </c>
      <c r="E93" t="s">
        <v>560</v>
      </c>
    </row>
    <row r="94" spans="1:21">
      <c r="A94" t="s">
        <v>2</v>
      </c>
      <c r="B94" s="46">
        <f>'CAN Disability details 10-11'!B9*0.027</f>
        <v>0.13500000000000001</v>
      </c>
      <c r="C94" s="46"/>
      <c r="D94" s="22" t="s">
        <v>217</v>
      </c>
    </row>
    <row r="95" spans="1:21">
      <c r="A95" t="s">
        <v>68</v>
      </c>
      <c r="B95" s="46">
        <f>'CAN Disability details 10-11'!B10*0.027</f>
        <v>0</v>
      </c>
      <c r="C95" s="46"/>
      <c r="D95" s="22" t="s">
        <v>217</v>
      </c>
      <c r="E95" s="7"/>
    </row>
    <row r="96" spans="1:21">
      <c r="A96" t="s">
        <v>3</v>
      </c>
      <c r="B96" s="46">
        <f>'CAN Disability details 10-11'!B11*0.027</f>
        <v>3.645</v>
      </c>
      <c r="C96" s="46"/>
      <c r="D96" s="22" t="s">
        <v>217</v>
      </c>
      <c r="E96" s="7"/>
    </row>
    <row r="97" spans="1:21">
      <c r="A97" t="s">
        <v>15</v>
      </c>
      <c r="B97" s="46">
        <f>'CAN Disability details 10-11'!B12*0.027</f>
        <v>5.9508000000000001</v>
      </c>
      <c r="C97" s="46"/>
      <c r="D97" s="22" t="s">
        <v>217</v>
      </c>
      <c r="E97" s="7" t="s">
        <v>581</v>
      </c>
      <c r="U97" s="38" t="s">
        <v>579</v>
      </c>
    </row>
    <row r="98" spans="1:21">
      <c r="A98" s="3" t="s">
        <v>24</v>
      </c>
      <c r="B98" s="104">
        <f>SUM(B91:B97)</f>
        <v>59.140800000000006</v>
      </c>
      <c r="C98" s="104"/>
      <c r="E98" s="7"/>
    </row>
    <row r="99" spans="1:21">
      <c r="B99" s="46"/>
      <c r="C99" s="46"/>
    </row>
    <row r="100" spans="1:21">
      <c r="A100" s="2" t="s">
        <v>4</v>
      </c>
      <c r="B100" s="46"/>
      <c r="C100" s="46"/>
    </row>
    <row r="101" spans="1:21">
      <c r="A101" t="s">
        <v>5</v>
      </c>
      <c r="B101" s="46">
        <f>255.7</f>
        <v>255.7</v>
      </c>
      <c r="C101" s="46"/>
      <c r="E101" t="s">
        <v>325</v>
      </c>
      <c r="U101" t="s">
        <v>620</v>
      </c>
    </row>
    <row r="102" spans="1:21">
      <c r="A102" t="s">
        <v>69</v>
      </c>
      <c r="B102" s="105"/>
      <c r="C102" s="105"/>
    </row>
    <row r="103" spans="1:21">
      <c r="A103" t="s">
        <v>6</v>
      </c>
      <c r="B103" s="114">
        <v>48.9</v>
      </c>
      <c r="C103" s="114"/>
      <c r="D103" s="103"/>
      <c r="E103" s="103" t="s">
        <v>394</v>
      </c>
      <c r="F103" s="103"/>
      <c r="G103" s="103"/>
      <c r="H103" s="103"/>
      <c r="I103" s="103"/>
      <c r="J103" s="103"/>
      <c r="K103" s="103"/>
      <c r="L103" s="103"/>
      <c r="M103" s="103"/>
      <c r="N103" s="103"/>
      <c r="O103" s="103"/>
      <c r="P103" s="103"/>
      <c r="Q103" s="103"/>
      <c r="R103" s="103"/>
      <c r="S103" s="103"/>
      <c r="T103" s="111"/>
      <c r="U103" s="110" t="s">
        <v>395</v>
      </c>
    </row>
    <row r="104" spans="1:21">
      <c r="A104" s="3" t="s">
        <v>24</v>
      </c>
      <c r="B104" s="112">
        <f>SUM(B101:B103)</f>
        <v>304.59999999999997</v>
      </c>
      <c r="C104" s="112"/>
      <c r="D104" s="103"/>
      <c r="E104" s="103"/>
      <c r="F104" s="103"/>
      <c r="G104" s="103"/>
      <c r="H104" s="103"/>
      <c r="I104" s="103"/>
      <c r="J104" s="103"/>
      <c r="K104" s="103"/>
      <c r="L104" s="103"/>
      <c r="M104" s="103"/>
      <c r="N104" s="103"/>
      <c r="O104" s="103"/>
      <c r="P104" s="103"/>
      <c r="Q104" s="103"/>
      <c r="R104" s="103"/>
      <c r="S104" s="103"/>
      <c r="T104" s="103"/>
      <c r="U104" s="103"/>
    </row>
    <row r="105" spans="1:21">
      <c r="B105" s="46"/>
      <c r="C105" s="46"/>
    </row>
    <row r="106" spans="1:21">
      <c r="A106" t="s">
        <v>478</v>
      </c>
      <c r="B106" s="104">
        <f>130.5+48.4</f>
        <v>178.9</v>
      </c>
      <c r="C106" s="104" t="s">
        <v>237</v>
      </c>
      <c r="E106" t="s">
        <v>98</v>
      </c>
      <c r="U106" t="s">
        <v>754</v>
      </c>
    </row>
    <row r="107" spans="1:21">
      <c r="A107" s="3"/>
      <c r="B107" s="104"/>
      <c r="C107" s="104"/>
    </row>
    <row r="108" spans="1:21">
      <c r="A108" s="2" t="s">
        <v>334</v>
      </c>
      <c r="B108" s="46"/>
      <c r="C108" s="46"/>
    </row>
    <row r="109" spans="1:21">
      <c r="A109" s="103" t="s">
        <v>335</v>
      </c>
      <c r="B109" s="46">
        <f>'SA $ by prov 10-11'!B6*0.55</f>
        <v>127.435</v>
      </c>
      <c r="C109" s="46" t="s">
        <v>237</v>
      </c>
      <c r="E109" s="150" t="s">
        <v>448</v>
      </c>
    </row>
    <row r="110" spans="1:21">
      <c r="A110" s="103"/>
      <c r="B110" s="46"/>
      <c r="C110" s="46"/>
      <c r="E110" s="150" t="s">
        <v>663</v>
      </c>
      <c r="I110" s="39"/>
      <c r="J110" s="39"/>
      <c r="K110" s="39"/>
      <c r="L110" s="39"/>
      <c r="M110" s="39"/>
      <c r="N110" s="39"/>
      <c r="O110" s="39"/>
      <c r="U110" t="s">
        <v>185</v>
      </c>
    </row>
    <row r="111" spans="1:21">
      <c r="A111" s="103" t="s">
        <v>12</v>
      </c>
      <c r="B111" s="143">
        <f>(72.6*0.46)*0.55</f>
        <v>18.367800000000003</v>
      </c>
      <c r="C111" s="143" t="s">
        <v>237</v>
      </c>
      <c r="E111" s="218" t="s">
        <v>796</v>
      </c>
      <c r="U111" s="52" t="s">
        <v>792</v>
      </c>
    </row>
    <row r="112" spans="1:21">
      <c r="A112" s="115" t="s">
        <v>24</v>
      </c>
      <c r="B112" s="138">
        <f>SUM(B109:B111)</f>
        <v>145.80279999999999</v>
      </c>
      <c r="C112" s="138" t="s">
        <v>237</v>
      </c>
    </row>
    <row r="113" spans="1:21">
      <c r="A113" s="3"/>
      <c r="B113" s="104"/>
      <c r="C113" s="104"/>
    </row>
    <row r="114" spans="1:21">
      <c r="A114" s="2" t="s">
        <v>13</v>
      </c>
      <c r="B114" s="46"/>
      <c r="C114" s="46"/>
    </row>
    <row r="115" spans="1:21">
      <c r="A115" t="s">
        <v>7</v>
      </c>
      <c r="B115" s="46">
        <f>148.9</f>
        <v>148.9</v>
      </c>
      <c r="C115" s="46"/>
      <c r="E115" t="s">
        <v>547</v>
      </c>
      <c r="U115" t="s">
        <v>205</v>
      </c>
    </row>
    <row r="116" spans="1:21">
      <c r="A116" t="s">
        <v>8</v>
      </c>
      <c r="B116" s="46"/>
      <c r="C116" s="46"/>
      <c r="E116" t="s">
        <v>167</v>
      </c>
    </row>
    <row r="117" spans="1:21">
      <c r="A117" s="3" t="s">
        <v>57</v>
      </c>
      <c r="B117" s="104">
        <f>SUM(B115:B116)</f>
        <v>148.9</v>
      </c>
      <c r="C117" s="104"/>
    </row>
    <row r="118" spans="1:21">
      <c r="A118" s="3"/>
      <c r="B118" s="104"/>
      <c r="C118" s="104"/>
    </row>
    <row r="119" spans="1:21">
      <c r="A119" t="s">
        <v>64</v>
      </c>
      <c r="B119" s="46"/>
      <c r="C119" s="46"/>
    </row>
    <row r="120" spans="1:21">
      <c r="A120" t="s">
        <v>9</v>
      </c>
      <c r="B120" s="46">
        <v>23</v>
      </c>
      <c r="C120" s="46"/>
      <c r="E120" t="s">
        <v>548</v>
      </c>
      <c r="U120" t="s">
        <v>75</v>
      </c>
    </row>
    <row r="121" spans="1:21">
      <c r="A121" t="s">
        <v>10</v>
      </c>
      <c r="B121" s="46">
        <v>102</v>
      </c>
      <c r="C121" s="46"/>
      <c r="E121" t="s">
        <v>548</v>
      </c>
    </row>
    <row r="122" spans="1:21">
      <c r="A122" s="3" t="s">
        <v>24</v>
      </c>
      <c r="B122" s="104">
        <f>SUM(B120:B121)</f>
        <v>125</v>
      </c>
      <c r="C122" s="104"/>
      <c r="E122" t="s">
        <v>429</v>
      </c>
    </row>
    <row r="123" spans="1:21">
      <c r="B123" s="46"/>
      <c r="C123" s="46"/>
    </row>
    <row r="124" spans="1:21" ht="15.75">
      <c r="A124" s="4" t="s">
        <v>23</v>
      </c>
      <c r="B124" s="139">
        <f>SUM(B98+B104+B106+B111+B109+B117+B122)</f>
        <v>962.34360000000004</v>
      </c>
      <c r="C124" s="139" t="s">
        <v>237</v>
      </c>
    </row>
    <row r="125" spans="1:21" ht="15.75">
      <c r="A125" s="48"/>
      <c r="B125" s="49"/>
      <c r="C125" s="49"/>
      <c r="D125" s="39"/>
    </row>
    <row r="126" spans="1:21" ht="15.75">
      <c r="A126" s="106" t="s">
        <v>674</v>
      </c>
      <c r="B126" s="49"/>
      <c r="C126" s="49"/>
      <c r="D126" s="39"/>
    </row>
    <row r="127" spans="1:21">
      <c r="A127" s="39"/>
      <c r="B127" s="39"/>
      <c r="C127" s="39"/>
      <c r="D127" s="39"/>
    </row>
    <row r="129" spans="1:21">
      <c r="B129" s="41" t="s">
        <v>30</v>
      </c>
      <c r="C129" s="41"/>
    </row>
    <row r="130" spans="1:21">
      <c r="B130" s="41" t="s">
        <v>689</v>
      </c>
      <c r="C130" s="41"/>
    </row>
    <row r="131" spans="1:21">
      <c r="B131" s="41" t="s">
        <v>16</v>
      </c>
      <c r="C131" s="41"/>
    </row>
    <row r="132" spans="1:21">
      <c r="A132" s="2" t="s">
        <v>11</v>
      </c>
      <c r="B132" s="106"/>
      <c r="C132" s="106"/>
    </row>
    <row r="133" spans="1:21">
      <c r="B133" s="106"/>
      <c r="C133" s="106"/>
    </row>
    <row r="134" spans="1:21">
      <c r="A134" t="s">
        <v>0</v>
      </c>
      <c r="B134" s="143">
        <f>'CAN Disability details 11-12'!B6*0.028</f>
        <v>18.900000000000002</v>
      </c>
      <c r="C134" s="46"/>
      <c r="D134" s="257" t="s">
        <v>217</v>
      </c>
      <c r="E134" s="52" t="s">
        <v>811</v>
      </c>
      <c r="R134" s="145"/>
      <c r="S134" s="145"/>
      <c r="T134" s="145"/>
      <c r="U134" s="145" t="s">
        <v>810</v>
      </c>
    </row>
    <row r="135" spans="1:21">
      <c r="A135" t="s">
        <v>1</v>
      </c>
      <c r="B135" s="143">
        <f>'CAN Disability details 11-12'!B7*0.028</f>
        <v>31.78</v>
      </c>
      <c r="C135" s="46"/>
      <c r="D135" s="257" t="s">
        <v>217</v>
      </c>
      <c r="E135" s="52" t="s">
        <v>757</v>
      </c>
      <c r="I135" t="s">
        <v>93</v>
      </c>
      <c r="R135" s="39"/>
      <c r="S135" s="39"/>
      <c r="T135" s="39"/>
      <c r="U135" s="39" t="s">
        <v>752</v>
      </c>
    </row>
    <row r="136" spans="1:21">
      <c r="A136" t="s">
        <v>14</v>
      </c>
      <c r="B136" s="46">
        <f>'CAN Disability details 11-12'!B8*0.028</f>
        <v>2.94</v>
      </c>
      <c r="C136" s="46"/>
      <c r="D136" s="257" t="s">
        <v>217</v>
      </c>
      <c r="E136" s="52" t="s">
        <v>763</v>
      </c>
      <c r="R136" s="39"/>
      <c r="S136" s="39"/>
      <c r="T136" s="39"/>
      <c r="U136" s="39"/>
    </row>
    <row r="137" spans="1:21">
      <c r="A137" t="s">
        <v>2</v>
      </c>
      <c r="B137" s="46">
        <f>'CAN Disability details 11-12'!B9*0.028</f>
        <v>0.14000000000000001</v>
      </c>
      <c r="C137" s="46"/>
      <c r="D137" s="257" t="s">
        <v>217</v>
      </c>
      <c r="R137" s="39"/>
      <c r="S137" s="39"/>
      <c r="T137" s="39"/>
      <c r="U137" s="39"/>
    </row>
    <row r="138" spans="1:21">
      <c r="A138" t="s">
        <v>68</v>
      </c>
      <c r="B138" s="46">
        <f>'CAN Disability details 11-12'!B10*0.028</f>
        <v>0</v>
      </c>
      <c r="C138" s="46"/>
      <c r="D138" s="257" t="s">
        <v>217</v>
      </c>
      <c r="R138" s="39"/>
      <c r="S138" s="39"/>
      <c r="T138" s="39"/>
      <c r="U138" s="39"/>
    </row>
    <row r="139" spans="1:21">
      <c r="A139" t="s">
        <v>3</v>
      </c>
      <c r="B139" s="46">
        <f>'CAN Disability details 11-12'!B11*0.028</f>
        <v>3.7800000000000002</v>
      </c>
      <c r="C139" s="46"/>
      <c r="D139" s="257" t="s">
        <v>217</v>
      </c>
      <c r="R139" s="39"/>
      <c r="S139" s="39"/>
      <c r="T139" s="39"/>
      <c r="U139" s="39"/>
    </row>
    <row r="140" spans="1:21">
      <c r="A140" t="s">
        <v>15</v>
      </c>
      <c r="B140" s="143">
        <f>'CAN Disability details 11-12'!B12*0.028</f>
        <v>7.0968799999999996</v>
      </c>
      <c r="C140" s="46"/>
      <c r="D140" s="257" t="s">
        <v>217</v>
      </c>
      <c r="E140" s="248" t="s">
        <v>812</v>
      </c>
      <c r="F140" s="249"/>
      <c r="G140" s="249"/>
      <c r="H140" s="249"/>
      <c r="I140" s="30"/>
      <c r="J140" s="30"/>
      <c r="K140" s="30"/>
      <c r="L140" s="30"/>
      <c r="M140" s="30"/>
      <c r="N140" s="30"/>
      <c r="O140" s="30"/>
      <c r="P140" s="30"/>
      <c r="Q140" s="171"/>
      <c r="R140" s="145"/>
      <c r="S140" s="145"/>
      <c r="T140" s="145"/>
      <c r="U140" s="145"/>
    </row>
    <row r="141" spans="1:21">
      <c r="A141" s="3" t="s">
        <v>24</v>
      </c>
      <c r="B141" s="138">
        <f>SUM(B134:B140)</f>
        <v>64.636880000000005</v>
      </c>
      <c r="C141" s="104"/>
      <c r="E141" s="6"/>
      <c r="Q141" s="111"/>
      <c r="R141" s="39"/>
      <c r="S141" s="39"/>
      <c r="T141" s="39"/>
      <c r="U141" s="39"/>
    </row>
    <row r="142" spans="1:21">
      <c r="B142" s="46"/>
      <c r="C142" s="46"/>
      <c r="Q142" s="29"/>
      <c r="R142" s="39"/>
      <c r="S142" s="39"/>
      <c r="T142" s="39"/>
      <c r="U142" s="39"/>
    </row>
    <row r="143" spans="1:21">
      <c r="A143" s="2" t="s">
        <v>4</v>
      </c>
      <c r="B143" s="46"/>
      <c r="C143" s="46"/>
      <c r="Q143" s="29"/>
      <c r="R143" s="39"/>
      <c r="S143" s="39"/>
      <c r="T143" s="39"/>
      <c r="U143" s="39"/>
    </row>
    <row r="144" spans="1:21">
      <c r="A144" t="s">
        <v>5</v>
      </c>
      <c r="B144" s="46">
        <v>267.2</v>
      </c>
      <c r="C144" s="46"/>
      <c r="E144" s="52" t="s">
        <v>747</v>
      </c>
      <c r="F144" s="30"/>
      <c r="G144" s="30"/>
      <c r="H144" s="30"/>
      <c r="I144" s="30"/>
      <c r="J144" s="30"/>
      <c r="K144" s="30"/>
      <c r="L144" s="30"/>
      <c r="M144" s="30"/>
      <c r="N144" s="30"/>
      <c r="O144" s="30"/>
      <c r="P144" s="30"/>
      <c r="Q144" s="172"/>
      <c r="R144" s="39"/>
      <c r="S144" s="39"/>
      <c r="T144" s="39"/>
      <c r="U144" s="39" t="s">
        <v>693</v>
      </c>
    </row>
    <row r="145" spans="1:21">
      <c r="A145" t="s">
        <v>69</v>
      </c>
      <c r="B145" s="105"/>
      <c r="C145" s="105"/>
      <c r="E145" s="321" t="s">
        <v>748</v>
      </c>
      <c r="F145" s="321"/>
      <c r="G145" s="321"/>
      <c r="H145" s="321"/>
      <c r="I145" s="321"/>
      <c r="J145" s="321"/>
      <c r="K145" s="321"/>
      <c r="L145" s="321"/>
      <c r="M145" s="321"/>
      <c r="N145" s="321"/>
      <c r="O145" s="321"/>
      <c r="P145" s="321"/>
      <c r="Q145" s="172"/>
      <c r="R145" s="39"/>
      <c r="S145" s="39"/>
      <c r="T145" s="39"/>
      <c r="U145" s="39" t="s">
        <v>693</v>
      </c>
    </row>
    <row r="146" spans="1:21">
      <c r="A146" t="s">
        <v>6</v>
      </c>
      <c r="B146" s="114">
        <v>52.2</v>
      </c>
      <c r="C146" s="114"/>
      <c r="D146" s="103"/>
      <c r="E146" s="120" t="s">
        <v>694</v>
      </c>
      <c r="F146" s="103"/>
      <c r="G146" s="103"/>
      <c r="H146" s="103"/>
      <c r="I146" s="103"/>
      <c r="J146" s="103"/>
      <c r="K146" s="103"/>
      <c r="L146" s="103"/>
      <c r="M146" s="103"/>
      <c r="N146" s="103"/>
      <c r="O146" s="103"/>
      <c r="P146" s="103"/>
      <c r="Q146" s="111"/>
      <c r="R146" s="145"/>
      <c r="S146" s="145"/>
      <c r="T146" s="145"/>
      <c r="U146" s="145" t="s">
        <v>519</v>
      </c>
    </row>
    <row r="147" spans="1:21">
      <c r="A147" s="3" t="s">
        <v>24</v>
      </c>
      <c r="B147" s="112">
        <f>SUM(B144:B146)</f>
        <v>319.39999999999998</v>
      </c>
      <c r="C147" s="112"/>
      <c r="D147" s="103"/>
      <c r="E147" s="103"/>
      <c r="F147" s="103"/>
      <c r="G147" s="103"/>
      <c r="H147" s="103"/>
      <c r="I147" s="103"/>
      <c r="J147" s="103"/>
      <c r="K147" s="103"/>
      <c r="L147" s="103"/>
      <c r="M147" s="103"/>
      <c r="N147" s="103"/>
      <c r="O147" s="103"/>
    </row>
    <row r="148" spans="1:21">
      <c r="B148" s="46"/>
      <c r="C148" s="46"/>
    </row>
    <row r="149" spans="1:21">
      <c r="A149" t="s">
        <v>478</v>
      </c>
      <c r="B149" s="104">
        <f>130.7+45.7</f>
        <v>176.39999999999998</v>
      </c>
      <c r="C149" s="104"/>
      <c r="E149" t="s">
        <v>98</v>
      </c>
      <c r="U149" t="s">
        <v>754</v>
      </c>
    </row>
    <row r="150" spans="1:21">
      <c r="A150" s="3"/>
      <c r="B150" s="104"/>
      <c r="C150" s="104"/>
    </row>
    <row r="151" spans="1:21">
      <c r="A151" s="2" t="s">
        <v>334</v>
      </c>
      <c r="B151" s="46"/>
      <c r="C151" s="46"/>
    </row>
    <row r="152" spans="1:21">
      <c r="A152" s="103" t="s">
        <v>335</v>
      </c>
      <c r="B152" s="46">
        <f>'SA $ by prov 11-12'!B6*0.55</f>
        <v>134.91500000000002</v>
      </c>
      <c r="C152" s="46" t="s">
        <v>437</v>
      </c>
      <c r="E152" s="262" t="s">
        <v>725</v>
      </c>
      <c r="U152" s="38" t="s">
        <v>724</v>
      </c>
    </row>
    <row r="153" spans="1:21">
      <c r="A153" s="103"/>
      <c r="B153" s="46"/>
      <c r="C153" s="46"/>
      <c r="E153" s="150" t="s">
        <v>663</v>
      </c>
      <c r="I153" s="39"/>
      <c r="J153" s="39"/>
      <c r="K153" s="39"/>
      <c r="L153" s="39"/>
      <c r="M153" s="39"/>
      <c r="N153" s="39"/>
      <c r="O153" s="39"/>
    </row>
    <row r="154" spans="1:21">
      <c r="A154" s="103" t="s">
        <v>12</v>
      </c>
      <c r="B154" s="46">
        <f>(72*0.46)*0.55</f>
        <v>18.216000000000005</v>
      </c>
      <c r="C154" s="46" t="s">
        <v>437</v>
      </c>
      <c r="E154" s="218" t="s">
        <v>796</v>
      </c>
      <c r="U154" s="52" t="s">
        <v>792</v>
      </c>
    </row>
    <row r="155" spans="1:21">
      <c r="A155" s="115" t="s">
        <v>24</v>
      </c>
      <c r="B155" s="104">
        <f>SUM(B152:B154)</f>
        <v>153.13100000000003</v>
      </c>
      <c r="C155" s="104" t="s">
        <v>437</v>
      </c>
    </row>
    <row r="156" spans="1:21">
      <c r="A156" s="3"/>
      <c r="B156" s="104"/>
      <c r="C156" s="104"/>
    </row>
    <row r="157" spans="1:21">
      <c r="A157" s="2" t="s">
        <v>13</v>
      </c>
      <c r="B157" s="46"/>
      <c r="C157" s="46"/>
    </row>
    <row r="158" spans="1:21">
      <c r="A158" t="s">
        <v>7</v>
      </c>
      <c r="B158" s="46">
        <v>149.80000000000001</v>
      </c>
      <c r="C158" s="46"/>
      <c r="E158" t="s">
        <v>547</v>
      </c>
      <c r="U158" s="145" t="s">
        <v>205</v>
      </c>
    </row>
    <row r="159" spans="1:21">
      <c r="A159" t="s">
        <v>8</v>
      </c>
      <c r="B159" s="46"/>
      <c r="C159" s="46"/>
      <c r="E159" t="s">
        <v>167</v>
      </c>
      <c r="U159" s="39" t="s">
        <v>206</v>
      </c>
    </row>
    <row r="160" spans="1:21">
      <c r="A160" s="3" t="s">
        <v>57</v>
      </c>
      <c r="B160" s="104">
        <f>SUM(B158:B159)</f>
        <v>149.80000000000001</v>
      </c>
      <c r="C160" s="104"/>
    </row>
    <row r="161" spans="1:28">
      <c r="A161" s="3"/>
      <c r="B161" s="104"/>
      <c r="C161" s="104"/>
    </row>
    <row r="162" spans="1:28">
      <c r="A162" t="s">
        <v>64</v>
      </c>
      <c r="B162" s="46"/>
      <c r="C162" s="46"/>
    </row>
    <row r="163" spans="1:28">
      <c r="A163" t="s">
        <v>9</v>
      </c>
      <c r="B163" s="46">
        <v>23</v>
      </c>
      <c r="C163" s="46"/>
      <c r="E163" t="s">
        <v>548</v>
      </c>
      <c r="U163" s="52" t="s">
        <v>762</v>
      </c>
    </row>
    <row r="164" spans="1:28">
      <c r="A164" t="s">
        <v>10</v>
      </c>
      <c r="B164" s="46">
        <v>105</v>
      </c>
      <c r="C164" s="46"/>
      <c r="E164" t="s">
        <v>548</v>
      </c>
      <c r="U164" t="s">
        <v>692</v>
      </c>
    </row>
    <row r="165" spans="1:28">
      <c r="A165" s="3" t="s">
        <v>24</v>
      </c>
      <c r="B165" s="104">
        <f>SUM(B163:B164)</f>
        <v>128</v>
      </c>
      <c r="C165" s="104"/>
      <c r="E165" t="s">
        <v>429</v>
      </c>
    </row>
    <row r="166" spans="1:28">
      <c r="B166" s="46"/>
      <c r="C166" s="46"/>
    </row>
    <row r="167" spans="1:28" ht="15.75">
      <c r="A167" s="48" t="s">
        <v>23</v>
      </c>
      <c r="B167" s="49">
        <f>SUM(B141+B147+B149+B154+B152+B160+B165)</f>
        <v>991.36788000000001</v>
      </c>
      <c r="C167" s="49" t="s">
        <v>237</v>
      </c>
      <c r="D167" s="39"/>
    </row>
    <row r="168" spans="1:28" ht="15.75">
      <c r="A168" s="48"/>
      <c r="B168" s="49"/>
      <c r="C168" s="49"/>
      <c r="D168" s="39"/>
    </row>
    <row r="169" spans="1:28" ht="15.75">
      <c r="A169" s="106" t="s">
        <v>674</v>
      </c>
      <c r="B169" s="49"/>
      <c r="C169" s="49"/>
      <c r="D169" s="39"/>
      <c r="V169" s="39"/>
      <c r="W169" s="50"/>
      <c r="X169" s="50"/>
      <c r="Y169" s="50"/>
      <c r="Z169" s="2"/>
      <c r="AA169" s="2"/>
      <c r="AB169" s="2"/>
    </row>
    <row r="170" spans="1:28" ht="15.75">
      <c r="A170" s="52"/>
      <c r="B170" s="49"/>
      <c r="C170" s="49"/>
      <c r="D170" s="39"/>
      <c r="V170" s="50"/>
      <c r="W170" s="50"/>
      <c r="X170" s="50"/>
      <c r="Y170" s="50"/>
      <c r="Z170" s="2"/>
      <c r="AA170" s="2"/>
      <c r="AB170" s="2"/>
    </row>
    <row r="171" spans="1:28" ht="15.75">
      <c r="A171" s="52"/>
      <c r="B171" s="49"/>
      <c r="C171" s="49"/>
      <c r="D171" s="39"/>
      <c r="V171" s="50"/>
      <c r="W171" s="50"/>
      <c r="X171" s="50"/>
      <c r="Y171" s="50"/>
      <c r="Z171" s="2"/>
      <c r="AA171" s="2"/>
      <c r="AB171" s="2"/>
    </row>
    <row r="172" spans="1:28">
      <c r="B172" s="41" t="s">
        <v>30</v>
      </c>
      <c r="C172" s="41"/>
      <c r="V172" s="50"/>
      <c r="W172" s="50"/>
      <c r="X172" s="50"/>
      <c r="Y172" s="50"/>
      <c r="Z172" s="2"/>
      <c r="AA172" s="2"/>
      <c r="AB172" s="2"/>
    </row>
    <row r="173" spans="1:28">
      <c r="B173" s="41" t="s">
        <v>823</v>
      </c>
      <c r="C173" s="41"/>
      <c r="V173" s="50"/>
      <c r="W173" s="50"/>
      <c r="X173" s="50"/>
      <c r="Y173" s="50"/>
      <c r="Z173" s="2"/>
      <c r="AA173" s="2"/>
      <c r="AB173" s="2"/>
    </row>
    <row r="174" spans="1:28">
      <c r="B174" s="41" t="s">
        <v>16</v>
      </c>
      <c r="C174" s="41"/>
      <c r="V174" s="50"/>
      <c r="W174" s="50"/>
      <c r="X174" s="50"/>
      <c r="Y174" s="50"/>
      <c r="Z174" s="2"/>
      <c r="AA174" s="2"/>
      <c r="AB174" s="2"/>
    </row>
    <row r="175" spans="1:28">
      <c r="A175" s="2" t="s">
        <v>11</v>
      </c>
      <c r="B175" s="106"/>
      <c r="C175" s="106"/>
      <c r="V175" s="50"/>
      <c r="W175" s="50"/>
      <c r="X175" s="50"/>
      <c r="Y175" s="50"/>
      <c r="Z175" s="2"/>
      <c r="AA175" s="2"/>
      <c r="AB175" s="2"/>
    </row>
    <row r="176" spans="1:28">
      <c r="B176" s="106"/>
      <c r="C176" s="106"/>
      <c r="V176" s="50"/>
      <c r="W176" s="50"/>
      <c r="X176" s="50"/>
      <c r="Y176" s="50"/>
      <c r="Z176" s="2"/>
      <c r="AA176" s="2"/>
      <c r="AB176" s="2"/>
    </row>
    <row r="177" spans="1:28">
      <c r="A177" t="s">
        <v>0</v>
      </c>
      <c r="B177" s="46">
        <f>'CAN Disability details 12-13'!B6*0.027</f>
        <v>18.63</v>
      </c>
      <c r="C177" s="46"/>
      <c r="D177" s="302" t="s">
        <v>217</v>
      </c>
      <c r="E177" s="52" t="s">
        <v>811</v>
      </c>
      <c r="V177" s="50"/>
      <c r="W177" s="50"/>
      <c r="X177" s="50"/>
      <c r="Y177" s="50"/>
      <c r="Z177" s="2"/>
      <c r="AA177" s="2"/>
      <c r="AB177" s="2"/>
    </row>
    <row r="178" spans="1:28">
      <c r="A178" t="s">
        <v>1</v>
      </c>
      <c r="B178" s="46">
        <f>'CAN Disability details 12-13'!B7*0.027</f>
        <v>32.4</v>
      </c>
      <c r="C178" s="46"/>
      <c r="D178" s="302" t="s">
        <v>217</v>
      </c>
      <c r="E178" s="52" t="s">
        <v>757</v>
      </c>
      <c r="I178" t="s">
        <v>93</v>
      </c>
      <c r="V178" s="50"/>
      <c r="W178" s="50"/>
      <c r="X178" s="50"/>
      <c r="Y178" s="50"/>
      <c r="Z178" s="2"/>
      <c r="AA178" s="2"/>
      <c r="AB178" s="2"/>
    </row>
    <row r="179" spans="1:28">
      <c r="A179" t="s">
        <v>14</v>
      </c>
      <c r="B179" s="46">
        <f>'CAN Disability details 12-13'!B8*0.027</f>
        <v>2.835</v>
      </c>
      <c r="C179" s="46"/>
      <c r="D179" s="302" t="s">
        <v>217</v>
      </c>
      <c r="E179" s="52" t="s">
        <v>965</v>
      </c>
      <c r="V179" s="50"/>
      <c r="W179" s="50"/>
      <c r="X179" s="50"/>
      <c r="Y179" s="50"/>
      <c r="Z179" s="2"/>
      <c r="AA179" s="2"/>
      <c r="AB179" s="2"/>
    </row>
    <row r="180" spans="1:28">
      <c r="A180" t="s">
        <v>2</v>
      </c>
      <c r="B180" s="46">
        <f>'CAN Disability details 12-13'!B9*0.027</f>
        <v>0.13500000000000001</v>
      </c>
      <c r="C180" s="46"/>
      <c r="D180" s="302" t="s">
        <v>217</v>
      </c>
      <c r="V180" s="50"/>
      <c r="W180" s="50"/>
      <c r="X180" s="50"/>
      <c r="Y180" s="50"/>
      <c r="Z180" s="2"/>
      <c r="AA180" s="2"/>
      <c r="AB180" s="2"/>
    </row>
    <row r="181" spans="1:28">
      <c r="A181" t="s">
        <v>68</v>
      </c>
      <c r="B181" s="46">
        <f>'CAN Disability details 12-13'!B10*0.027</f>
        <v>0</v>
      </c>
      <c r="C181" s="46"/>
      <c r="D181" s="302" t="s">
        <v>217</v>
      </c>
      <c r="V181" s="50"/>
      <c r="W181" s="50"/>
      <c r="X181" s="50"/>
      <c r="Y181" s="50"/>
      <c r="Z181" s="2"/>
      <c r="AA181" s="2"/>
      <c r="AB181" s="2"/>
    </row>
    <row r="182" spans="1:28">
      <c r="A182" t="s">
        <v>3</v>
      </c>
      <c r="B182" s="46">
        <f>'CAN Disability details 12-13'!B11*0.027</f>
        <v>3.78</v>
      </c>
      <c r="C182" s="46"/>
      <c r="D182" s="302" t="s">
        <v>217</v>
      </c>
      <c r="V182" s="50"/>
      <c r="W182" s="50"/>
      <c r="X182" s="50"/>
      <c r="Y182" s="50"/>
      <c r="Z182" s="2"/>
      <c r="AA182" s="2"/>
      <c r="AB182" s="2"/>
    </row>
    <row r="183" spans="1:28">
      <c r="A183" t="s">
        <v>15</v>
      </c>
      <c r="B183" s="46">
        <f>'CAN Disability details 12-13'!B12*0.027</f>
        <v>7.1409600000000006</v>
      </c>
      <c r="C183" s="46"/>
      <c r="D183" s="302" t="s">
        <v>217</v>
      </c>
      <c r="E183" s="248" t="s">
        <v>901</v>
      </c>
      <c r="F183" s="249"/>
      <c r="G183" s="249"/>
      <c r="H183" s="249"/>
      <c r="I183" s="30"/>
      <c r="J183" s="30"/>
      <c r="K183" s="30"/>
      <c r="L183" s="30"/>
      <c r="M183" s="30"/>
      <c r="N183" s="30"/>
      <c r="O183" s="30"/>
      <c r="P183" s="30"/>
      <c r="V183" s="50"/>
      <c r="W183" s="50"/>
      <c r="X183" s="50"/>
      <c r="Y183" s="50"/>
      <c r="Z183" s="2"/>
      <c r="AA183" s="2"/>
      <c r="AB183" s="2"/>
    </row>
    <row r="184" spans="1:28">
      <c r="A184" s="3" t="s">
        <v>24</v>
      </c>
      <c r="B184" s="104">
        <f>SUM(B177:B183)</f>
        <v>64.920960000000008</v>
      </c>
      <c r="C184" s="104"/>
      <c r="E184" s="6"/>
      <c r="V184" s="50"/>
      <c r="W184" s="50"/>
      <c r="X184" s="50"/>
      <c r="Y184" s="50"/>
      <c r="Z184" s="2"/>
      <c r="AA184" s="2"/>
      <c r="AB184" s="2"/>
    </row>
    <row r="185" spans="1:28">
      <c r="B185" s="46"/>
      <c r="C185" s="46"/>
      <c r="V185" s="50"/>
      <c r="W185" s="50"/>
      <c r="X185" s="50"/>
      <c r="Y185" s="50"/>
      <c r="Z185" s="2"/>
      <c r="AA185" s="2"/>
      <c r="AB185" s="2"/>
    </row>
    <row r="186" spans="1:28">
      <c r="A186" s="2" t="s">
        <v>4</v>
      </c>
      <c r="B186" s="46"/>
      <c r="C186" s="46"/>
      <c r="V186" s="50"/>
      <c r="W186" s="50"/>
      <c r="X186" s="50"/>
      <c r="Y186" s="50"/>
      <c r="Z186" s="2"/>
      <c r="AA186" s="2"/>
      <c r="AB186" s="2"/>
    </row>
    <row r="187" spans="1:28">
      <c r="A187" t="s">
        <v>5</v>
      </c>
      <c r="B187" s="46">
        <v>267</v>
      </c>
      <c r="C187" s="46"/>
      <c r="E187" s="52" t="s">
        <v>747</v>
      </c>
      <c r="F187" s="30"/>
      <c r="G187" s="30"/>
      <c r="H187" s="30"/>
      <c r="I187" s="30"/>
      <c r="J187" s="30"/>
      <c r="K187" s="30"/>
      <c r="L187" s="30"/>
      <c r="M187" s="30"/>
      <c r="N187" s="30"/>
      <c r="O187" s="30"/>
      <c r="P187" s="30"/>
      <c r="V187" s="50"/>
      <c r="W187" s="50"/>
      <c r="X187" s="50"/>
      <c r="Y187" s="50"/>
      <c r="Z187" s="2"/>
      <c r="AA187" s="2"/>
      <c r="AB187" s="2"/>
    </row>
    <row r="188" spans="1:28">
      <c r="A188" t="s">
        <v>69</v>
      </c>
      <c r="C188" s="105"/>
      <c r="E188" s="305"/>
      <c r="F188" s="305"/>
      <c r="G188" s="305"/>
      <c r="H188" s="305"/>
      <c r="I188" s="305"/>
      <c r="J188" s="305"/>
      <c r="K188" s="305"/>
      <c r="L188" s="305"/>
      <c r="M188" s="305"/>
      <c r="N188" s="305"/>
      <c r="O188" s="305"/>
      <c r="P188" s="305"/>
      <c r="V188" s="50"/>
      <c r="W188" s="50"/>
      <c r="X188" s="50"/>
      <c r="Y188" s="50"/>
      <c r="Z188" s="2"/>
      <c r="AA188" s="2"/>
      <c r="AB188" s="2"/>
    </row>
    <row r="189" spans="1:28">
      <c r="A189" t="s">
        <v>6</v>
      </c>
      <c r="B189" s="105">
        <v>54.8</v>
      </c>
      <c r="C189" s="114"/>
      <c r="D189" s="103"/>
      <c r="E189" s="120" t="s">
        <v>972</v>
      </c>
      <c r="F189" s="103"/>
      <c r="G189" s="103"/>
      <c r="H189" s="103"/>
      <c r="I189" s="103"/>
      <c r="J189" s="103"/>
      <c r="K189" s="103"/>
      <c r="L189" s="103"/>
      <c r="M189" s="103"/>
      <c r="N189" s="103"/>
      <c r="O189" s="103"/>
      <c r="P189" s="103"/>
      <c r="V189" s="50"/>
      <c r="W189" s="50"/>
      <c r="X189" s="50"/>
      <c r="Y189" s="50"/>
      <c r="Z189" s="2"/>
      <c r="AA189" s="2"/>
      <c r="AB189" s="2"/>
    </row>
    <row r="190" spans="1:28">
      <c r="A190" s="3" t="s">
        <v>24</v>
      </c>
      <c r="B190" s="112">
        <f>SUM(B187:B189)</f>
        <v>321.8</v>
      </c>
      <c r="C190" s="112"/>
      <c r="D190" s="103"/>
      <c r="E190" s="103"/>
      <c r="F190" s="103"/>
      <c r="G190" s="103"/>
      <c r="H190" s="103"/>
      <c r="I190" s="103"/>
      <c r="J190" s="103"/>
      <c r="K190" s="103"/>
      <c r="L190" s="103"/>
      <c r="M190" s="103"/>
      <c r="N190" s="103"/>
      <c r="O190" s="103"/>
      <c r="V190" s="50"/>
      <c r="W190" s="50"/>
      <c r="X190" s="50"/>
      <c r="Y190" s="50"/>
      <c r="Z190" s="2"/>
      <c r="AA190" s="2"/>
      <c r="AB190" s="2"/>
    </row>
    <row r="191" spans="1:28">
      <c r="A191" s="3"/>
      <c r="B191" s="112"/>
      <c r="C191" s="112"/>
      <c r="D191" s="103"/>
      <c r="E191" s="103"/>
      <c r="F191" s="103"/>
      <c r="G191" s="103"/>
      <c r="H191" s="103"/>
      <c r="I191" s="103"/>
      <c r="J191" s="103"/>
      <c r="K191" s="103"/>
      <c r="L191" s="103"/>
      <c r="M191" s="103"/>
      <c r="N191" s="103"/>
      <c r="O191" s="103"/>
      <c r="V191" s="50"/>
      <c r="W191" s="50"/>
      <c r="X191" s="50"/>
      <c r="Y191" s="50"/>
      <c r="Z191" s="2"/>
      <c r="AA191" s="2"/>
      <c r="AB191" s="2"/>
    </row>
    <row r="192" spans="1:28">
      <c r="A192" s="52" t="s">
        <v>101</v>
      </c>
      <c r="B192" s="114">
        <v>128</v>
      </c>
      <c r="C192" s="112"/>
      <c r="D192" s="103"/>
      <c r="E192" s="103"/>
      <c r="F192" s="103"/>
      <c r="G192" s="103"/>
      <c r="H192" s="103"/>
      <c r="I192" s="103"/>
      <c r="J192" s="103"/>
      <c r="K192" s="103"/>
      <c r="L192" s="103"/>
      <c r="M192" s="103"/>
      <c r="N192" s="103"/>
      <c r="O192" s="103"/>
      <c r="V192" s="50"/>
      <c r="W192" s="50"/>
      <c r="X192" s="50"/>
      <c r="Y192" s="50"/>
      <c r="Z192" s="2"/>
      <c r="AA192" s="2"/>
      <c r="AB192" s="2"/>
    </row>
    <row r="193" spans="1:28">
      <c r="A193" s="52" t="s">
        <v>709</v>
      </c>
      <c r="B193" s="46">
        <v>62</v>
      </c>
      <c r="C193" s="46"/>
      <c r="V193" s="50"/>
      <c r="W193" s="50"/>
      <c r="X193" s="50"/>
      <c r="Y193" s="50"/>
      <c r="Z193" s="2"/>
      <c r="AA193" s="2"/>
      <c r="AB193" s="2"/>
    </row>
    <row r="194" spans="1:28">
      <c r="A194" s="2" t="s">
        <v>478</v>
      </c>
      <c r="B194" s="104">
        <f>SUM(B192:B193)</f>
        <v>190</v>
      </c>
      <c r="C194" s="104"/>
      <c r="E194" t="s">
        <v>98</v>
      </c>
      <c r="V194" s="50"/>
      <c r="W194" s="50"/>
      <c r="X194" s="50"/>
      <c r="Y194" s="50"/>
      <c r="Z194" s="2"/>
      <c r="AA194" s="2"/>
      <c r="AB194" s="2"/>
    </row>
    <row r="195" spans="1:28">
      <c r="A195" s="3"/>
      <c r="B195" s="104"/>
      <c r="C195" s="104"/>
      <c r="V195" s="50"/>
      <c r="W195" s="50"/>
      <c r="X195" s="50"/>
      <c r="Y195" s="50"/>
      <c r="Z195" s="2"/>
      <c r="AA195" s="2"/>
      <c r="AB195" s="2"/>
    </row>
    <row r="196" spans="1:28">
      <c r="A196" s="2" t="s">
        <v>334</v>
      </c>
      <c r="B196" s="46"/>
      <c r="C196" s="46"/>
      <c r="V196" s="50"/>
      <c r="W196" s="50"/>
      <c r="X196" s="50"/>
      <c r="Y196" s="50"/>
      <c r="Z196" s="2"/>
      <c r="AA196" s="2"/>
      <c r="AB196" s="2"/>
    </row>
    <row r="197" spans="1:28">
      <c r="A197" s="103" t="s">
        <v>335</v>
      </c>
      <c r="B197" s="46">
        <f>'SA $ by prov 12-13'!B6*0.57</f>
        <v>151.905</v>
      </c>
      <c r="C197" s="46" t="s">
        <v>437</v>
      </c>
      <c r="E197" s="262" t="s">
        <v>725</v>
      </c>
      <c r="V197" s="50"/>
      <c r="W197" s="50"/>
      <c r="X197" s="50"/>
      <c r="Y197" s="50"/>
      <c r="Z197" s="2"/>
      <c r="AA197" s="2"/>
      <c r="AB197" s="2"/>
    </row>
    <row r="198" spans="1:28">
      <c r="A198" s="103"/>
      <c r="B198" s="46"/>
      <c r="C198" s="46"/>
      <c r="E198" s="262" t="s">
        <v>968</v>
      </c>
      <c r="I198" s="39"/>
      <c r="J198" s="39"/>
      <c r="K198" s="39"/>
      <c r="L198" s="39"/>
      <c r="M198" s="39"/>
      <c r="N198" s="39"/>
      <c r="O198" s="39"/>
      <c r="V198" s="50"/>
      <c r="W198" s="50"/>
      <c r="X198" s="50"/>
      <c r="Y198" s="50"/>
      <c r="Z198" s="2"/>
      <c r="AA198" s="2"/>
      <c r="AB198" s="2"/>
    </row>
    <row r="199" spans="1:28">
      <c r="A199" s="103" t="s">
        <v>12</v>
      </c>
      <c r="B199" s="46">
        <f>(73.1*0.46)*0.57</f>
        <v>19.166819999999998</v>
      </c>
      <c r="C199" s="46" t="s">
        <v>437</v>
      </c>
      <c r="E199" s="218" t="s">
        <v>969</v>
      </c>
      <c r="V199" s="50"/>
      <c r="W199" s="50"/>
      <c r="X199" s="50"/>
      <c r="Y199" s="50"/>
      <c r="Z199" s="2"/>
      <c r="AA199" s="2"/>
      <c r="AB199" s="2"/>
    </row>
    <row r="200" spans="1:28">
      <c r="A200" s="115" t="s">
        <v>24</v>
      </c>
      <c r="B200" s="104">
        <f>SUM(B197:B199)</f>
        <v>171.07182</v>
      </c>
      <c r="C200" s="104" t="s">
        <v>437</v>
      </c>
      <c r="V200" s="50"/>
      <c r="W200" s="50"/>
      <c r="X200" s="50"/>
      <c r="Y200" s="50"/>
      <c r="Z200" s="2"/>
      <c r="AA200" s="2"/>
      <c r="AB200" s="2"/>
    </row>
    <row r="201" spans="1:28">
      <c r="A201" s="3"/>
      <c r="B201" s="104"/>
      <c r="C201" s="104"/>
      <c r="V201" s="50"/>
      <c r="W201" s="50"/>
      <c r="X201" s="50"/>
      <c r="Y201" s="50"/>
      <c r="Z201" s="2"/>
      <c r="AA201" s="2"/>
      <c r="AB201" s="2"/>
    </row>
    <row r="202" spans="1:28">
      <c r="A202" s="2" t="s">
        <v>13</v>
      </c>
      <c r="B202" s="46"/>
      <c r="C202" s="46"/>
      <c r="V202" s="50"/>
      <c r="W202" s="50"/>
      <c r="X202" s="50"/>
      <c r="Y202" s="50"/>
      <c r="Z202" s="2"/>
      <c r="AA202" s="2"/>
      <c r="AB202" s="2"/>
    </row>
    <row r="203" spans="1:28">
      <c r="A203" t="s">
        <v>7</v>
      </c>
      <c r="B203" s="46">
        <v>151.6</v>
      </c>
      <c r="C203" s="46"/>
      <c r="E203" s="52" t="s">
        <v>973</v>
      </c>
      <c r="V203" s="50"/>
      <c r="W203" s="50"/>
      <c r="X203" s="50"/>
      <c r="Y203" s="50"/>
      <c r="Z203" s="2"/>
      <c r="AA203" s="2"/>
      <c r="AB203" s="2"/>
    </row>
    <row r="204" spans="1:28">
      <c r="A204" t="s">
        <v>8</v>
      </c>
      <c r="B204" s="46"/>
      <c r="C204" s="46"/>
      <c r="E204" t="s">
        <v>167</v>
      </c>
      <c r="V204" s="50"/>
      <c r="W204" s="50"/>
      <c r="X204" s="50"/>
      <c r="Y204" s="50"/>
      <c r="Z204" s="2"/>
      <c r="AA204" s="2"/>
      <c r="AB204" s="2"/>
    </row>
    <row r="205" spans="1:28">
      <c r="A205" s="3" t="s">
        <v>57</v>
      </c>
      <c r="B205" s="104">
        <f>SUM(B203:B204)</f>
        <v>151.6</v>
      </c>
      <c r="C205" s="104"/>
      <c r="V205" s="50"/>
      <c r="W205" s="50"/>
      <c r="X205" s="50"/>
      <c r="Y205" s="50"/>
      <c r="Z205" s="2"/>
      <c r="AA205" s="2"/>
      <c r="AB205" s="2"/>
    </row>
    <row r="206" spans="1:28">
      <c r="A206" s="3"/>
      <c r="B206" s="104"/>
      <c r="C206" s="104"/>
      <c r="V206" s="50"/>
      <c r="W206" s="50"/>
      <c r="X206" s="50"/>
      <c r="Y206" s="50"/>
      <c r="Z206" s="2"/>
      <c r="AA206" s="2"/>
      <c r="AB206" s="2"/>
    </row>
    <row r="207" spans="1:28">
      <c r="A207" t="s">
        <v>64</v>
      </c>
      <c r="B207" s="46"/>
      <c r="C207" s="46"/>
      <c r="V207" s="50"/>
      <c r="W207" s="50"/>
      <c r="X207" s="50"/>
      <c r="Y207" s="50"/>
      <c r="Z207" s="2"/>
      <c r="AA207" s="2"/>
      <c r="AB207" s="2"/>
    </row>
    <row r="208" spans="1:28">
      <c r="A208" t="s">
        <v>9</v>
      </c>
      <c r="B208" s="46">
        <v>21</v>
      </c>
      <c r="C208" s="46"/>
      <c r="E208" s="52" t="s">
        <v>961</v>
      </c>
      <c r="V208" s="50"/>
      <c r="W208" s="50"/>
      <c r="X208" s="50"/>
      <c r="Y208" s="50"/>
      <c r="Z208" s="2"/>
      <c r="AA208" s="2"/>
      <c r="AB208" s="2"/>
    </row>
    <row r="209" spans="1:28">
      <c r="A209" t="s">
        <v>10</v>
      </c>
      <c r="B209" s="46">
        <v>114</v>
      </c>
      <c r="C209" s="46"/>
      <c r="E209" s="52" t="s">
        <v>961</v>
      </c>
      <c r="V209" s="50"/>
      <c r="W209" s="50"/>
      <c r="X209" s="50"/>
      <c r="Y209" s="50"/>
      <c r="Z209" s="2"/>
      <c r="AA209" s="2"/>
      <c r="AB209" s="2"/>
    </row>
    <row r="210" spans="1:28">
      <c r="A210" s="3" t="s">
        <v>24</v>
      </c>
      <c r="B210" s="104">
        <f>SUM(B208:B209)</f>
        <v>135</v>
      </c>
      <c r="C210" s="104"/>
      <c r="E210" t="s">
        <v>429</v>
      </c>
      <c r="V210" s="50"/>
      <c r="W210" s="50"/>
      <c r="X210" s="50"/>
      <c r="Y210" s="50"/>
      <c r="Z210" s="2"/>
      <c r="AA210" s="2"/>
      <c r="AB210" s="2"/>
    </row>
    <row r="211" spans="1:28">
      <c r="B211" s="46"/>
      <c r="C211" s="46"/>
      <c r="V211" s="50"/>
      <c r="W211" s="50"/>
      <c r="X211" s="50"/>
      <c r="Y211" s="50"/>
      <c r="Z211" s="2"/>
      <c r="AA211" s="2"/>
      <c r="AB211" s="2"/>
    </row>
    <row r="212" spans="1:28" ht="15.75">
      <c r="A212" s="48" t="s">
        <v>23</v>
      </c>
      <c r="B212" s="49">
        <f>SUM(B184+B190+B194+B200+B205+B210)</f>
        <v>1034.3927800000001</v>
      </c>
      <c r="C212" s="49"/>
      <c r="D212" s="39"/>
      <c r="V212" s="50"/>
      <c r="W212" s="50"/>
      <c r="X212" s="50"/>
      <c r="Y212" s="50"/>
      <c r="Z212" s="2"/>
      <c r="AA212" s="2"/>
      <c r="AB212" s="2"/>
    </row>
    <row r="213" spans="1:28" ht="15.75">
      <c r="A213" s="52"/>
      <c r="B213" s="49"/>
      <c r="C213" s="49"/>
      <c r="D213" s="39"/>
      <c r="V213" s="50"/>
      <c r="W213" s="50"/>
      <c r="X213" s="50"/>
      <c r="Y213" s="50"/>
      <c r="Z213" s="2"/>
      <c r="AA213" s="2"/>
      <c r="AB213" s="2"/>
    </row>
    <row r="214" spans="1:28" ht="15.75">
      <c r="A214" s="52"/>
      <c r="B214" s="49"/>
      <c r="C214" s="49"/>
      <c r="D214" s="39"/>
      <c r="V214" s="50"/>
      <c r="W214" s="50"/>
      <c r="X214" s="50"/>
      <c r="Y214" s="50"/>
      <c r="Z214" s="2"/>
      <c r="AA214" s="2"/>
      <c r="AB214" s="2"/>
    </row>
    <row r="215" spans="1:28">
      <c r="B215" s="41" t="s">
        <v>30</v>
      </c>
      <c r="C215" s="41"/>
      <c r="V215" s="50"/>
      <c r="W215" s="50"/>
      <c r="X215" s="50"/>
      <c r="Y215" s="50"/>
      <c r="Z215" s="2"/>
      <c r="AA215" s="2"/>
      <c r="AB215" s="2"/>
    </row>
    <row r="216" spans="1:28">
      <c r="B216" s="41" t="s">
        <v>824</v>
      </c>
      <c r="C216" s="41"/>
      <c r="V216" s="50"/>
      <c r="W216" s="50"/>
      <c r="X216" s="50"/>
      <c r="Y216" s="50"/>
      <c r="Z216" s="2"/>
      <c r="AA216" s="2"/>
      <c r="AB216" s="2"/>
    </row>
    <row r="217" spans="1:28">
      <c r="B217" s="41" t="s">
        <v>16</v>
      </c>
      <c r="C217" s="41"/>
      <c r="V217" s="50"/>
      <c r="W217" s="50"/>
      <c r="X217" s="50"/>
      <c r="Y217" s="50"/>
      <c r="Z217" s="2"/>
      <c r="AA217" s="2"/>
      <c r="AB217" s="2"/>
    </row>
    <row r="218" spans="1:28">
      <c r="A218" s="2" t="s">
        <v>11</v>
      </c>
      <c r="B218" s="106"/>
      <c r="C218" s="106"/>
      <c r="V218" s="50"/>
      <c r="W218" s="50"/>
      <c r="X218" s="50"/>
      <c r="Y218" s="50"/>
      <c r="Z218" s="2"/>
      <c r="AA218" s="2"/>
      <c r="AB218" s="2"/>
    </row>
    <row r="219" spans="1:28">
      <c r="B219" s="106"/>
      <c r="C219" s="106"/>
      <c r="V219" s="50"/>
      <c r="W219" s="50"/>
      <c r="X219" s="50"/>
      <c r="Y219" s="50"/>
      <c r="Z219" s="2"/>
      <c r="AA219" s="2"/>
      <c r="AB219" s="2"/>
    </row>
    <row r="220" spans="1:28">
      <c r="A220" t="s">
        <v>0</v>
      </c>
      <c r="B220" s="46">
        <f>'CAN Disability detailes 13-14'!B6*0.027</f>
        <v>19.440000000000001</v>
      </c>
      <c r="C220" s="46"/>
      <c r="D220" s="302" t="s">
        <v>217</v>
      </c>
      <c r="E220" s="52" t="s">
        <v>811</v>
      </c>
      <c r="V220" s="50"/>
      <c r="W220" s="50"/>
      <c r="X220" s="50"/>
      <c r="Y220" s="50"/>
      <c r="Z220" s="2"/>
      <c r="AA220" s="2"/>
      <c r="AB220" s="2"/>
    </row>
    <row r="221" spans="1:28">
      <c r="A221" t="s">
        <v>1</v>
      </c>
      <c r="B221" s="46">
        <f>'CAN Disability detailes 13-14'!B7*0.027</f>
        <v>34.964999999999996</v>
      </c>
      <c r="C221" s="46"/>
      <c r="D221" s="302" t="s">
        <v>217</v>
      </c>
      <c r="E221" s="52" t="s">
        <v>757</v>
      </c>
      <c r="I221" t="s">
        <v>93</v>
      </c>
      <c r="V221" s="50"/>
      <c r="W221" s="50"/>
      <c r="X221" s="50"/>
      <c r="Y221" s="50"/>
      <c r="Z221" s="2"/>
      <c r="AA221" s="2"/>
      <c r="AB221" s="2"/>
    </row>
    <row r="222" spans="1:28">
      <c r="A222" t="s">
        <v>14</v>
      </c>
      <c r="B222" s="46">
        <f>'CAN Disability detailes 13-14'!B8*0.027</f>
        <v>2.9699999999999998</v>
      </c>
      <c r="C222" s="46"/>
      <c r="D222" s="302" t="s">
        <v>217</v>
      </c>
      <c r="E222" s="52" t="s">
        <v>965</v>
      </c>
      <c r="V222" s="50"/>
      <c r="W222" s="50"/>
      <c r="X222" s="50"/>
      <c r="Y222" s="50"/>
      <c r="Z222" s="2"/>
      <c r="AA222" s="2"/>
      <c r="AB222" s="2"/>
    </row>
    <row r="223" spans="1:28">
      <c r="A223" t="s">
        <v>2</v>
      </c>
      <c r="B223" s="46">
        <f>'CAN Disability detailes 13-14'!B9*0.027</f>
        <v>0.16200000000000001</v>
      </c>
      <c r="C223" s="46"/>
      <c r="D223" s="302" t="s">
        <v>217</v>
      </c>
      <c r="V223" s="50"/>
      <c r="W223" s="50"/>
      <c r="X223" s="50"/>
      <c r="Y223" s="50"/>
      <c r="Z223" s="2"/>
      <c r="AA223" s="2"/>
      <c r="AB223" s="2"/>
    </row>
    <row r="224" spans="1:28">
      <c r="A224" t="s">
        <v>68</v>
      </c>
      <c r="B224" s="46">
        <f>'CAN Disability detailes 13-14'!B10*0.027</f>
        <v>0</v>
      </c>
      <c r="C224" s="46"/>
      <c r="D224" s="302" t="s">
        <v>217</v>
      </c>
      <c r="V224" s="50"/>
      <c r="W224" s="50"/>
      <c r="X224" s="50"/>
      <c r="Y224" s="50"/>
      <c r="Z224" s="2"/>
      <c r="AA224" s="2"/>
      <c r="AB224" s="2"/>
    </row>
    <row r="225" spans="1:28">
      <c r="A225" t="s">
        <v>3</v>
      </c>
      <c r="B225" s="46">
        <f>'CAN Disability detailes 13-14'!B11*0.027</f>
        <v>3.915</v>
      </c>
      <c r="C225" s="46"/>
      <c r="D225" s="302" t="s">
        <v>217</v>
      </c>
      <c r="V225" s="50"/>
      <c r="W225" s="50"/>
      <c r="X225" s="50"/>
      <c r="Y225" s="50"/>
      <c r="Z225" s="2"/>
      <c r="AA225" s="2"/>
      <c r="AB225" s="2"/>
    </row>
    <row r="226" spans="1:28">
      <c r="A226" t="s">
        <v>15</v>
      </c>
      <c r="B226" s="46">
        <f>'CAN Disability detailes 13-14'!B12*0.027</f>
        <v>6.631875</v>
      </c>
      <c r="C226" s="46"/>
      <c r="D226" s="302" t="s">
        <v>217</v>
      </c>
      <c r="E226" s="248" t="s">
        <v>908</v>
      </c>
      <c r="F226" s="249"/>
      <c r="G226" s="249"/>
      <c r="H226" s="249"/>
      <c r="I226" s="30"/>
      <c r="J226" s="30"/>
      <c r="K226" s="30"/>
      <c r="L226" s="30"/>
      <c r="M226" s="30"/>
      <c r="N226" s="30"/>
      <c r="O226" s="30"/>
      <c r="P226" s="30"/>
      <c r="V226" s="50"/>
      <c r="W226" s="50"/>
      <c r="X226" s="50"/>
      <c r="Y226" s="50"/>
      <c r="Z226" s="2"/>
      <c r="AA226" s="2"/>
      <c r="AB226" s="2"/>
    </row>
    <row r="227" spans="1:28">
      <c r="A227" s="3" t="s">
        <v>24</v>
      </c>
      <c r="B227" s="104">
        <f>SUM(B220:B226)</f>
        <v>68.083874999999992</v>
      </c>
      <c r="C227" s="104"/>
      <c r="E227" s="6"/>
      <c r="V227" s="50"/>
      <c r="W227" s="50"/>
      <c r="X227" s="50"/>
      <c r="Y227" s="50"/>
      <c r="Z227" s="2"/>
      <c r="AA227" s="2"/>
      <c r="AB227" s="2"/>
    </row>
    <row r="228" spans="1:28">
      <c r="B228" s="46"/>
      <c r="C228" s="46"/>
      <c r="V228" s="50"/>
      <c r="W228" s="50"/>
      <c r="X228" s="50"/>
      <c r="Y228" s="50"/>
      <c r="Z228" s="2"/>
      <c r="AA228" s="2"/>
      <c r="AB228" s="2"/>
    </row>
    <row r="229" spans="1:28">
      <c r="A229" s="2" t="s">
        <v>4</v>
      </c>
      <c r="B229" s="46"/>
      <c r="C229" s="46"/>
      <c r="V229" s="50"/>
      <c r="W229" s="50"/>
      <c r="X229" s="50"/>
      <c r="Y229" s="50"/>
      <c r="Z229" s="2"/>
      <c r="AA229" s="2"/>
      <c r="AB229" s="2"/>
    </row>
    <row r="230" spans="1:28">
      <c r="A230" t="s">
        <v>5</v>
      </c>
      <c r="B230" s="46">
        <v>268.39999999999998</v>
      </c>
      <c r="C230" s="46"/>
      <c r="E230" s="52" t="s">
        <v>747</v>
      </c>
      <c r="F230" s="30"/>
      <c r="G230" s="30"/>
      <c r="H230" s="30"/>
      <c r="I230" s="30"/>
      <c r="J230" s="30"/>
      <c r="K230" s="30"/>
      <c r="L230" s="30"/>
      <c r="M230" s="30"/>
      <c r="N230" s="30"/>
      <c r="O230" s="30"/>
      <c r="P230" s="30"/>
      <c r="V230" s="50"/>
      <c r="W230" s="50"/>
      <c r="X230" s="50"/>
      <c r="Y230" s="50"/>
      <c r="Z230" s="2"/>
      <c r="AA230" s="2"/>
      <c r="AB230" s="2"/>
    </row>
    <row r="231" spans="1:28">
      <c r="A231" t="s">
        <v>69</v>
      </c>
      <c r="B231" s="105"/>
      <c r="C231" s="105"/>
      <c r="E231" s="300"/>
      <c r="F231" s="300"/>
      <c r="G231" s="300"/>
      <c r="H231" s="300"/>
      <c r="I231" s="300"/>
      <c r="J231" s="300"/>
      <c r="K231" s="300"/>
      <c r="L231" s="300"/>
      <c r="M231" s="300"/>
      <c r="N231" s="300"/>
      <c r="O231" s="300"/>
      <c r="P231" s="300"/>
      <c r="V231" s="50"/>
      <c r="W231" s="50"/>
      <c r="X231" s="50"/>
      <c r="Y231" s="50"/>
      <c r="Z231" s="2"/>
      <c r="AA231" s="2"/>
      <c r="AB231" s="2"/>
    </row>
    <row r="232" spans="1:28">
      <c r="A232" t="s">
        <v>6</v>
      </c>
      <c r="B232" s="114">
        <v>59.9</v>
      </c>
      <c r="C232" s="114"/>
      <c r="D232" s="103"/>
      <c r="E232" s="120" t="s">
        <v>971</v>
      </c>
      <c r="F232" s="103"/>
      <c r="G232" s="103"/>
      <c r="H232" s="103"/>
      <c r="I232" s="103"/>
      <c r="J232" s="103"/>
      <c r="K232" s="103"/>
      <c r="L232" s="103"/>
      <c r="M232" s="103"/>
      <c r="N232" s="103"/>
      <c r="O232" s="103"/>
      <c r="P232" s="103"/>
      <c r="V232" s="50"/>
      <c r="W232" s="50"/>
      <c r="X232" s="50"/>
      <c r="Y232" s="50"/>
      <c r="Z232" s="2"/>
      <c r="AA232" s="2"/>
      <c r="AB232" s="2"/>
    </row>
    <row r="233" spans="1:28">
      <c r="A233" s="3" t="s">
        <v>24</v>
      </c>
      <c r="B233" s="112">
        <f>SUM(B230:B232)</f>
        <v>328.29999999999995</v>
      </c>
      <c r="C233" s="112"/>
      <c r="D233" s="103"/>
      <c r="E233" s="103"/>
      <c r="F233" s="103"/>
      <c r="G233" s="103"/>
      <c r="H233" s="103"/>
      <c r="I233" s="103"/>
      <c r="J233" s="103"/>
      <c r="K233" s="103"/>
      <c r="L233" s="103"/>
      <c r="M233" s="103"/>
      <c r="N233" s="103"/>
      <c r="O233" s="103"/>
      <c r="V233" s="50"/>
      <c r="W233" s="50"/>
      <c r="X233" s="50"/>
      <c r="Y233" s="50"/>
      <c r="Z233" s="2"/>
      <c r="AA233" s="2"/>
      <c r="AB233" s="2"/>
    </row>
    <row r="234" spans="1:28">
      <c r="A234" s="3"/>
      <c r="B234" s="112"/>
      <c r="C234" s="112"/>
      <c r="D234" s="103"/>
      <c r="E234" s="103"/>
      <c r="F234" s="103"/>
      <c r="G234" s="103"/>
      <c r="H234" s="103"/>
      <c r="I234" s="103"/>
      <c r="J234" s="103"/>
      <c r="K234" s="103"/>
      <c r="L234" s="103"/>
      <c r="M234" s="103"/>
      <c r="N234" s="103"/>
      <c r="O234" s="103"/>
      <c r="V234" s="50"/>
      <c r="W234" s="50"/>
      <c r="X234" s="50"/>
      <c r="Y234" s="50"/>
      <c r="Z234" s="2"/>
      <c r="AA234" s="2"/>
      <c r="AB234" s="2"/>
    </row>
    <row r="235" spans="1:28">
      <c r="A235" s="52" t="s">
        <v>101</v>
      </c>
      <c r="B235" s="114">
        <v>125.2</v>
      </c>
      <c r="C235" s="112"/>
      <c r="D235" s="103"/>
      <c r="E235" s="103"/>
      <c r="F235" s="103"/>
      <c r="G235" s="103"/>
      <c r="H235" s="103"/>
      <c r="I235" s="103"/>
      <c r="J235" s="103"/>
      <c r="K235" s="103"/>
      <c r="L235" s="103"/>
      <c r="M235" s="103"/>
      <c r="N235" s="103"/>
      <c r="O235" s="103"/>
      <c r="V235" s="50"/>
      <c r="W235" s="50"/>
      <c r="X235" s="50"/>
      <c r="Y235" s="50"/>
      <c r="Z235" s="2"/>
      <c r="AA235" s="2"/>
      <c r="AB235" s="2"/>
    </row>
    <row r="236" spans="1:28">
      <c r="A236" s="52" t="s">
        <v>709</v>
      </c>
      <c r="B236" s="46">
        <v>66.7</v>
      </c>
      <c r="C236" s="46"/>
      <c r="V236" s="50"/>
      <c r="W236" s="50"/>
      <c r="X236" s="50"/>
      <c r="Y236" s="50"/>
      <c r="Z236" s="2"/>
      <c r="AA236" s="2"/>
      <c r="AB236" s="2"/>
    </row>
    <row r="237" spans="1:28">
      <c r="A237" t="s">
        <v>478</v>
      </c>
      <c r="B237" s="104">
        <f>SUM(B235:B236)</f>
        <v>191.9</v>
      </c>
      <c r="C237" s="104"/>
      <c r="E237" t="s">
        <v>98</v>
      </c>
      <c r="V237" s="50"/>
      <c r="W237" s="50"/>
      <c r="X237" s="50"/>
      <c r="Y237" s="50"/>
      <c r="Z237" s="2"/>
      <c r="AA237" s="2"/>
      <c r="AB237" s="2"/>
    </row>
    <row r="238" spans="1:28">
      <c r="A238" s="3"/>
      <c r="B238" s="104"/>
      <c r="C238" s="104"/>
      <c r="V238" s="50"/>
      <c r="W238" s="50"/>
      <c r="X238" s="50"/>
      <c r="Y238" s="50"/>
      <c r="Z238" s="2"/>
      <c r="AA238" s="2"/>
      <c r="AB238" s="2"/>
    </row>
    <row r="239" spans="1:28">
      <c r="A239" s="2" t="s">
        <v>334</v>
      </c>
      <c r="B239" s="46"/>
      <c r="C239" s="46"/>
      <c r="V239" s="50"/>
      <c r="W239" s="50"/>
      <c r="X239" s="50"/>
      <c r="Y239" s="50"/>
      <c r="Z239" s="2"/>
      <c r="AA239" s="2"/>
      <c r="AB239" s="2"/>
    </row>
    <row r="240" spans="1:28">
      <c r="A240" s="103" t="s">
        <v>335</v>
      </c>
      <c r="B240" s="46">
        <f>'SA $ by prov 13-14'!B6*0.59</f>
        <v>149.68299999999999</v>
      </c>
      <c r="C240" s="46" t="s">
        <v>437</v>
      </c>
      <c r="E240" s="262" t="s">
        <v>725</v>
      </c>
      <c r="V240" s="50"/>
      <c r="W240" s="50"/>
      <c r="X240" s="50"/>
      <c r="Y240" s="50"/>
      <c r="Z240" s="2"/>
      <c r="AA240" s="2"/>
      <c r="AB240" s="2"/>
    </row>
    <row r="241" spans="1:28">
      <c r="A241" s="103"/>
      <c r="B241" s="46"/>
      <c r="C241" s="46"/>
      <c r="E241" s="262" t="s">
        <v>968</v>
      </c>
      <c r="I241" s="39"/>
      <c r="J241" s="39"/>
      <c r="K241" s="39"/>
      <c r="L241" s="39"/>
      <c r="M241" s="39"/>
      <c r="N241" s="39"/>
      <c r="O241" s="39"/>
      <c r="V241" s="50"/>
      <c r="W241" s="50"/>
      <c r="X241" s="50"/>
      <c r="Y241" s="50"/>
      <c r="Z241" s="2"/>
      <c r="AA241" s="2"/>
      <c r="AB241" s="2"/>
    </row>
    <row r="242" spans="1:28">
      <c r="A242" s="103" t="s">
        <v>12</v>
      </c>
      <c r="B242" s="46">
        <f>(74.9*0.46)*0.59</f>
        <v>20.327859999999998</v>
      </c>
      <c r="C242" s="46" t="s">
        <v>437</v>
      </c>
      <c r="E242" s="218" t="s">
        <v>1017</v>
      </c>
      <c r="V242" s="50"/>
      <c r="W242" s="50"/>
      <c r="X242" s="50"/>
      <c r="Y242" s="50"/>
      <c r="Z242" s="2"/>
      <c r="AA242" s="2"/>
      <c r="AB242" s="2"/>
    </row>
    <row r="243" spans="1:28">
      <c r="A243" s="115" t="s">
        <v>24</v>
      </c>
      <c r="B243" s="104">
        <f>SUM(B240:B242)</f>
        <v>170.01085999999998</v>
      </c>
      <c r="C243" s="104" t="s">
        <v>437</v>
      </c>
      <c r="V243" s="50"/>
      <c r="W243" s="50"/>
      <c r="X243" s="50"/>
      <c r="Y243" s="50"/>
      <c r="Z243" s="2"/>
      <c r="AA243" s="2"/>
      <c r="AB243" s="2"/>
    </row>
    <row r="244" spans="1:28">
      <c r="A244" s="3"/>
      <c r="B244" s="104"/>
      <c r="C244" s="104"/>
      <c r="V244" s="50"/>
      <c r="W244" s="50"/>
      <c r="X244" s="50"/>
      <c r="Y244" s="50"/>
      <c r="Z244" s="2"/>
      <c r="AA244" s="2"/>
      <c r="AB244" s="2"/>
    </row>
    <row r="245" spans="1:28">
      <c r="A245" s="2" t="s">
        <v>13</v>
      </c>
      <c r="B245" s="46"/>
      <c r="C245" s="46"/>
      <c r="V245" s="50"/>
      <c r="W245" s="50"/>
      <c r="X245" s="50"/>
      <c r="Y245" s="50"/>
      <c r="Z245" s="2"/>
      <c r="AA245" s="2"/>
      <c r="AB245" s="2"/>
    </row>
    <row r="246" spans="1:28">
      <c r="A246" t="s">
        <v>7</v>
      </c>
      <c r="B246" s="46">
        <v>160.69999999999999</v>
      </c>
      <c r="C246" s="46"/>
      <c r="E246" s="52" t="s">
        <v>974</v>
      </c>
      <c r="V246" s="50"/>
      <c r="W246" s="50"/>
      <c r="X246" s="50"/>
      <c r="Y246" s="50"/>
      <c r="Z246" s="2"/>
      <c r="AA246" s="2"/>
      <c r="AB246" s="2"/>
    </row>
    <row r="247" spans="1:28">
      <c r="A247" t="s">
        <v>8</v>
      </c>
      <c r="B247" s="46"/>
      <c r="C247" s="46"/>
      <c r="E247" s="52" t="s">
        <v>970</v>
      </c>
      <c r="V247" s="50"/>
      <c r="W247" s="50"/>
      <c r="X247" s="50"/>
      <c r="Y247" s="50"/>
      <c r="Z247" s="2"/>
      <c r="AA247" s="2"/>
      <c r="AB247" s="2"/>
    </row>
    <row r="248" spans="1:28">
      <c r="A248" s="3" t="s">
        <v>57</v>
      </c>
      <c r="B248" s="104">
        <f>SUM(B246:B247)</f>
        <v>160.69999999999999</v>
      </c>
      <c r="C248" s="104"/>
      <c r="V248" s="50"/>
      <c r="W248" s="50"/>
      <c r="X248" s="50"/>
      <c r="Y248" s="50"/>
      <c r="Z248" s="2"/>
      <c r="AA248" s="2"/>
      <c r="AB248" s="2"/>
    </row>
    <row r="249" spans="1:28">
      <c r="A249" s="3"/>
      <c r="B249" s="104"/>
      <c r="C249" s="104"/>
      <c r="V249" s="50"/>
      <c r="W249" s="50"/>
      <c r="X249" s="50"/>
      <c r="Y249" s="50"/>
      <c r="Z249" s="2"/>
      <c r="AA249" s="2"/>
      <c r="AB249" s="2"/>
    </row>
    <row r="250" spans="1:28">
      <c r="A250" t="s">
        <v>64</v>
      </c>
      <c r="B250" s="46"/>
      <c r="C250" s="46"/>
      <c r="V250" s="50"/>
      <c r="W250" s="50"/>
      <c r="X250" s="50"/>
      <c r="Y250" s="50"/>
      <c r="Z250" s="2"/>
      <c r="AA250" s="2"/>
      <c r="AB250" s="2"/>
    </row>
    <row r="251" spans="1:28">
      <c r="A251" t="s">
        <v>9</v>
      </c>
      <c r="B251" s="46">
        <v>13</v>
      </c>
      <c r="C251" s="46"/>
      <c r="E251" s="52" t="s">
        <v>927</v>
      </c>
      <c r="V251" s="50"/>
      <c r="W251" s="50"/>
      <c r="X251" s="50"/>
      <c r="Y251" s="50"/>
      <c r="Z251" s="2"/>
      <c r="AA251" s="2"/>
      <c r="AB251" s="2"/>
    </row>
    <row r="252" spans="1:28">
      <c r="A252" t="s">
        <v>10</v>
      </c>
      <c r="B252" s="46">
        <v>175</v>
      </c>
      <c r="C252" s="46"/>
      <c r="E252" s="52" t="s">
        <v>927</v>
      </c>
      <c r="V252" s="50"/>
      <c r="W252" s="50"/>
      <c r="X252" s="50"/>
      <c r="Y252" s="50"/>
      <c r="Z252" s="2"/>
      <c r="AA252" s="2"/>
      <c r="AB252" s="2"/>
    </row>
    <row r="253" spans="1:28">
      <c r="A253" s="3" t="s">
        <v>24</v>
      </c>
      <c r="B253" s="104">
        <f>SUM(B251:B252)</f>
        <v>188</v>
      </c>
      <c r="C253" s="104"/>
      <c r="E253" t="s">
        <v>429</v>
      </c>
      <c r="V253" s="50"/>
      <c r="W253" s="50"/>
      <c r="X253" s="50"/>
      <c r="Y253" s="50"/>
      <c r="Z253" s="2"/>
      <c r="AA253" s="2"/>
      <c r="AB253" s="2"/>
    </row>
    <row r="254" spans="1:28">
      <c r="B254" s="46"/>
      <c r="C254" s="46"/>
      <c r="V254" s="50"/>
      <c r="W254" s="50"/>
      <c r="X254" s="50"/>
      <c r="Y254" s="50"/>
      <c r="Z254" s="2"/>
      <c r="AA254" s="2"/>
      <c r="AB254" s="2"/>
    </row>
    <row r="255" spans="1:28" ht="15.75">
      <c r="A255" s="48" t="s">
        <v>23</v>
      </c>
      <c r="B255" s="49">
        <f>SUM(B227+B233+B237+B243+B248+B253)</f>
        <v>1106.994735</v>
      </c>
      <c r="C255" s="49"/>
      <c r="D255" s="39"/>
      <c r="V255" s="50"/>
      <c r="W255" s="50"/>
      <c r="X255" s="50"/>
      <c r="Y255" s="50"/>
      <c r="Z255" s="2"/>
      <c r="AA255" s="2"/>
      <c r="AB255" s="2"/>
    </row>
    <row r="256" spans="1:28" ht="15.75">
      <c r="A256" s="52"/>
      <c r="B256" s="49"/>
      <c r="C256" s="49"/>
      <c r="D256" s="39"/>
      <c r="V256" s="50"/>
      <c r="W256" s="50"/>
      <c r="X256" s="50"/>
      <c r="Y256" s="50"/>
      <c r="Z256" s="2"/>
      <c r="AA256" s="2"/>
      <c r="AB256" s="2"/>
    </row>
    <row r="257" spans="1:29" ht="15.75">
      <c r="A257" s="52"/>
      <c r="B257" s="49"/>
      <c r="C257" s="49"/>
      <c r="D257" s="39"/>
      <c r="V257" s="50"/>
      <c r="W257" s="50"/>
      <c r="X257" s="50"/>
      <c r="Y257" s="50"/>
      <c r="Z257" s="2"/>
      <c r="AA257" s="2"/>
      <c r="AB257" s="2"/>
    </row>
    <row r="258" spans="1:29" ht="15.75">
      <c r="A258" s="52"/>
      <c r="B258" s="49"/>
      <c r="C258" s="49"/>
      <c r="D258" s="39"/>
      <c r="V258" s="50"/>
      <c r="W258" s="50"/>
      <c r="X258" s="50"/>
      <c r="Y258" s="50"/>
      <c r="Z258" s="2"/>
      <c r="AA258" s="2"/>
      <c r="AB258" s="2"/>
    </row>
    <row r="259" spans="1:29" ht="15.75">
      <c r="A259" s="52"/>
      <c r="B259" s="49"/>
      <c r="C259" s="49"/>
      <c r="D259" s="39"/>
      <c r="V259" s="50"/>
      <c r="W259" s="50"/>
      <c r="X259" s="50"/>
      <c r="Y259" s="50"/>
      <c r="Z259" s="2"/>
      <c r="AA259" s="2"/>
      <c r="AB259" s="2"/>
    </row>
    <row r="260" spans="1:29" ht="15.75">
      <c r="A260" s="52"/>
      <c r="B260" s="49"/>
      <c r="C260" s="49"/>
      <c r="D260" s="39"/>
      <c r="V260" s="50"/>
      <c r="W260" s="50"/>
      <c r="X260" s="50"/>
      <c r="Y260" s="50"/>
      <c r="Z260" s="2"/>
      <c r="AA260" s="2"/>
      <c r="AB260" s="2"/>
    </row>
    <row r="261" spans="1:29" ht="15.75">
      <c r="A261" s="52"/>
      <c r="B261" s="49"/>
      <c r="C261" s="49"/>
      <c r="D261" s="39"/>
      <c r="V261" s="50"/>
      <c r="W261" s="50"/>
      <c r="X261" s="50"/>
      <c r="Y261" s="50"/>
      <c r="Z261" s="2"/>
      <c r="AA261" s="2"/>
      <c r="AB261" s="2"/>
    </row>
    <row r="262" spans="1:29" ht="15.75">
      <c r="A262" s="52"/>
      <c r="B262" s="49"/>
      <c r="C262" s="49"/>
      <c r="D262" s="39"/>
      <c r="V262" s="50"/>
      <c r="W262" s="50"/>
      <c r="X262" s="50"/>
      <c r="Y262" s="50"/>
      <c r="Z262" s="2"/>
      <c r="AA262" s="2"/>
      <c r="AB262" s="2"/>
    </row>
    <row r="263" spans="1:29" ht="15.75">
      <c r="A263" s="106"/>
      <c r="B263" s="49"/>
      <c r="C263" s="49"/>
      <c r="D263" s="39"/>
      <c r="V263" s="224" t="s">
        <v>687</v>
      </c>
      <c r="W263" s="224"/>
      <c r="X263" s="224"/>
      <c r="Y263" s="224"/>
      <c r="Z263" s="2"/>
      <c r="AA263" s="2"/>
      <c r="AB263" s="2"/>
    </row>
    <row r="264" spans="1:29" ht="45" customHeight="1">
      <c r="A264" s="4" t="s">
        <v>434</v>
      </c>
      <c r="O264" s="2" t="s">
        <v>389</v>
      </c>
      <c r="V264" s="226">
        <v>2005</v>
      </c>
      <c r="W264" s="226">
        <v>2010</v>
      </c>
      <c r="X264" s="226">
        <v>2011</v>
      </c>
      <c r="Y264" s="226">
        <v>2013</v>
      </c>
      <c r="Z264" s="322" t="s">
        <v>1030</v>
      </c>
      <c r="AA264" s="322"/>
      <c r="AB264" s="322"/>
      <c r="AC264" s="230"/>
    </row>
    <row r="265" spans="1:29" ht="51">
      <c r="B265" s="41" t="s">
        <v>58</v>
      </c>
      <c r="C265" s="41"/>
      <c r="D265" s="41" t="s">
        <v>181</v>
      </c>
      <c r="E265" s="256" t="s">
        <v>743</v>
      </c>
      <c r="F265" s="41" t="s">
        <v>514</v>
      </c>
      <c r="G265" s="256" t="s">
        <v>743</v>
      </c>
      <c r="H265" s="2" t="s">
        <v>689</v>
      </c>
      <c r="I265" s="256" t="s">
        <v>743</v>
      </c>
      <c r="J265" s="301" t="s">
        <v>823</v>
      </c>
      <c r="K265" s="301" t="s">
        <v>743</v>
      </c>
      <c r="L265" s="301" t="s">
        <v>824</v>
      </c>
      <c r="M265" s="301" t="s">
        <v>743</v>
      </c>
      <c r="N265" s="301"/>
      <c r="O265" s="41" t="s">
        <v>58</v>
      </c>
      <c r="P265" s="41" t="s">
        <v>181</v>
      </c>
      <c r="Q265" s="41" t="s">
        <v>514</v>
      </c>
      <c r="R265" s="2" t="s">
        <v>689</v>
      </c>
      <c r="S265" s="2" t="s">
        <v>823</v>
      </c>
      <c r="T265" s="41" t="s">
        <v>824</v>
      </c>
      <c r="V265" s="232">
        <v>937899</v>
      </c>
      <c r="W265" s="232">
        <v>942073</v>
      </c>
      <c r="X265" s="232">
        <v>944469</v>
      </c>
      <c r="Y265" s="232">
        <v>942991</v>
      </c>
      <c r="Z265" s="256" t="s">
        <v>743</v>
      </c>
    </row>
    <row r="266" spans="1:29">
      <c r="A266" s="2" t="s">
        <v>11</v>
      </c>
      <c r="B266" s="9">
        <f>B13</f>
        <v>49.59</v>
      </c>
      <c r="C266" s="9"/>
      <c r="D266" s="9">
        <f>B55</f>
        <v>57.358000000000004</v>
      </c>
      <c r="E266" s="29">
        <f>(D266-B266)/B266</f>
        <v>0.15664448477515627</v>
      </c>
      <c r="F266" s="9">
        <f>B98</f>
        <v>59.140800000000006</v>
      </c>
      <c r="G266" s="29">
        <f>(F266-B266)/B266</f>
        <v>0.1925952813067151</v>
      </c>
      <c r="H266" s="9">
        <f>B141</f>
        <v>64.636880000000005</v>
      </c>
      <c r="I266" s="29">
        <f>(H266-B266)/B266</f>
        <v>0.30342569066344022</v>
      </c>
      <c r="J266" s="9">
        <f>B184</f>
        <v>64.920960000000008</v>
      </c>
      <c r="K266" s="29">
        <f>(J266-B266)/B266</f>
        <v>0.30915426497277682</v>
      </c>
      <c r="L266" s="9">
        <f>B227</f>
        <v>68.083874999999992</v>
      </c>
      <c r="M266" s="29">
        <f>(L266-B266)/B266</f>
        <v>0.37293557168784003</v>
      </c>
      <c r="N266" s="29"/>
      <c r="O266" s="29">
        <f>B266/$B$275</f>
        <v>6.028219213717937E-2</v>
      </c>
      <c r="P266" s="29">
        <f>D266/$D$275</f>
        <v>6.2255449441190117E-2</v>
      </c>
      <c r="Q266" s="29">
        <f>F266/$F$275</f>
        <v>6.1454973047048889E-2</v>
      </c>
      <c r="R266" s="29">
        <f>H266/$H$275</f>
        <v>6.5199691561522069E-2</v>
      </c>
      <c r="S266" s="29">
        <f>J266/$J$275</f>
        <v>6.2762387030582331E-2</v>
      </c>
      <c r="T266" s="29">
        <f>L266/$L$275</f>
        <v>6.1503341296379341E-2</v>
      </c>
      <c r="V266" s="225">
        <f>(B266*1000000)/$V$265</f>
        <v>52.873497039659924</v>
      </c>
      <c r="W266" s="225">
        <f>(F266*1000000)/$W$265</f>
        <v>62.777300697504344</v>
      </c>
      <c r="X266" s="225">
        <f>(H266*1000000)/$X$265</f>
        <v>68.437270042743606</v>
      </c>
      <c r="Y266" s="225">
        <f>L266*1000000/$Y$265</f>
        <v>72.199920253745773</v>
      </c>
      <c r="Z266" s="56">
        <f>(Y266-V266)/V266</f>
        <v>0.36552194002960081</v>
      </c>
      <c r="AA266" s="2"/>
      <c r="AB266" s="2"/>
    </row>
    <row r="267" spans="1:29">
      <c r="A267" s="2" t="s">
        <v>5</v>
      </c>
      <c r="B267" s="9">
        <f>B16</f>
        <v>233.8</v>
      </c>
      <c r="C267" s="9"/>
      <c r="D267" s="9">
        <f>B58</f>
        <v>248.2</v>
      </c>
      <c r="E267" s="29">
        <f t="shared" ref="E267:E280" si="0">(D267-B267)/B267</f>
        <v>6.1591103507271074E-2</v>
      </c>
      <c r="F267" s="9">
        <f>B101</f>
        <v>255.7</v>
      </c>
      <c r="G267" s="29">
        <f t="shared" ref="G267:G275" si="1">(F267-B267)/B267</f>
        <v>9.3669803250641476E-2</v>
      </c>
      <c r="H267" s="9">
        <f>B144</f>
        <v>267.2</v>
      </c>
      <c r="I267" s="29">
        <f t="shared" ref="I267:I275" si="2">(H267-B267)/B267</f>
        <v>0.14285714285714277</v>
      </c>
      <c r="J267" s="9">
        <f>B187</f>
        <v>267</v>
      </c>
      <c r="K267" s="29">
        <f t="shared" ref="K267:K275" si="3">(J267-B267)/B267</f>
        <v>0.14200171086398625</v>
      </c>
      <c r="L267" s="9">
        <f>B230</f>
        <v>268.39999999999998</v>
      </c>
      <c r="M267" s="29">
        <f t="shared" ref="M267:M275" si="4">(L267-B267)/B267</f>
        <v>0.14798973481608196</v>
      </c>
      <c r="N267" s="29"/>
      <c r="O267" s="29">
        <f t="shared" ref="O267:O275" si="5">B267/$B$275</f>
        <v>0.28421005286695983</v>
      </c>
      <c r="P267" s="29">
        <f t="shared" ref="P267:P275" si="6">D267/$D$275</f>
        <v>0.2693922827034308</v>
      </c>
      <c r="Q267" s="29">
        <f t="shared" ref="Q267:Q275" si="7">F267/$F$275</f>
        <v>0.26570551308285312</v>
      </c>
      <c r="R267" s="29">
        <f t="shared" ref="R267:R275" si="8">H267/$H$275</f>
        <v>0.26952658583209299</v>
      </c>
      <c r="S267" s="29">
        <f t="shared" ref="S267:S275" si="9">J267/$J$275</f>
        <v>0.25812245131873401</v>
      </c>
      <c r="T267" s="29">
        <f t="shared" ref="T267:T275" si="10">L267/$L$275</f>
        <v>0.24245824439264388</v>
      </c>
      <c r="V267" s="225">
        <f t="shared" ref="V267:V280" si="11">(B267*1000000)/$V$265</f>
        <v>249.28057285485963</v>
      </c>
      <c r="W267" s="225">
        <f t="shared" ref="W267:W280" si="12">(F267*1000000)/$W$265</f>
        <v>271.42270291155779</v>
      </c>
      <c r="X267" s="225">
        <f t="shared" ref="X267:X280" si="13">(H267*1000000)/$X$265</f>
        <v>282.91029139124737</v>
      </c>
      <c r="Y267" s="225">
        <f t="shared" ref="Y267:Y275" si="14">L267*1000000/$Y$265</f>
        <v>284.6262583630172</v>
      </c>
      <c r="Z267" s="56">
        <f t="shared" ref="Z267:Z280" si="15">(Y267-V267)/V267</f>
        <v>0.1417907745612296</v>
      </c>
      <c r="AA267" s="2"/>
      <c r="AB267" s="2"/>
    </row>
    <row r="268" spans="1:29">
      <c r="A268" s="2" t="s">
        <v>6</v>
      </c>
      <c r="B268" s="9">
        <f>B18</f>
        <v>37.1</v>
      </c>
      <c r="C268" s="9"/>
      <c r="D268" s="9">
        <f>B60</f>
        <v>50</v>
      </c>
      <c r="E268" s="29">
        <f t="shared" si="0"/>
        <v>0.34770889487870615</v>
      </c>
      <c r="F268" s="9">
        <f>B103</f>
        <v>48.9</v>
      </c>
      <c r="G268" s="29">
        <f t="shared" si="1"/>
        <v>0.3180592991913746</v>
      </c>
      <c r="H268" s="9">
        <f>B146</f>
        <v>52.2</v>
      </c>
      <c r="I268" s="29">
        <f t="shared" si="2"/>
        <v>0.40700808625336932</v>
      </c>
      <c r="J268" s="9">
        <f>B189</f>
        <v>54.8</v>
      </c>
      <c r="K268" s="29">
        <f t="shared" si="3"/>
        <v>0.47708894878706187</v>
      </c>
      <c r="L268" s="9">
        <f>B232</f>
        <v>59.9</v>
      </c>
      <c r="M268" s="29">
        <f t="shared" si="4"/>
        <v>0.61455525606468997</v>
      </c>
      <c r="N268" s="29"/>
      <c r="O268" s="29">
        <f t="shared" si="5"/>
        <v>4.5099200005834943E-2</v>
      </c>
      <c r="P268" s="29">
        <f t="shared" si="6"/>
        <v>5.4269194742834578E-2</v>
      </c>
      <c r="Q268" s="29">
        <f t="shared" si="7"/>
        <v>5.0813451661132249E-2</v>
      </c>
      <c r="R268" s="29">
        <f t="shared" si="8"/>
        <v>5.2654520136359483E-2</v>
      </c>
      <c r="S268" s="29">
        <f t="shared" si="9"/>
        <v>5.2977941319350651E-2</v>
      </c>
      <c r="T268" s="29">
        <f t="shared" si="10"/>
        <v>5.4110465123395561E-2</v>
      </c>
      <c r="V268" s="225">
        <f t="shared" si="11"/>
        <v>39.556498087747187</v>
      </c>
      <c r="W268" s="225">
        <f t="shared" si="12"/>
        <v>51.906805523563463</v>
      </c>
      <c r="X268" s="225">
        <f t="shared" si="13"/>
        <v>55.269151237361946</v>
      </c>
      <c r="Y268" s="225">
        <f t="shared" si="14"/>
        <v>63.521284932730005</v>
      </c>
      <c r="Z268" s="56">
        <f t="shared" si="15"/>
        <v>0.60583691690357255</v>
      </c>
      <c r="AA268" s="2"/>
      <c r="AB268" s="2"/>
    </row>
    <row r="269" spans="1:29">
      <c r="A269" s="2" t="s">
        <v>478</v>
      </c>
      <c r="B269" s="9">
        <f>B21</f>
        <v>117.57599999999999</v>
      </c>
      <c r="C269" s="9"/>
      <c r="D269" s="9">
        <f>B63</f>
        <v>152.26499999999999</v>
      </c>
      <c r="E269" s="29">
        <f t="shared" si="0"/>
        <v>0.29503470095937945</v>
      </c>
      <c r="F269" s="9">
        <f>B106</f>
        <v>178.9</v>
      </c>
      <c r="G269" s="29">
        <f t="shared" si="1"/>
        <v>0.52156902769272651</v>
      </c>
      <c r="H269" s="9">
        <f>B149</f>
        <v>176.39999999999998</v>
      </c>
      <c r="I269" s="29">
        <f t="shared" si="2"/>
        <v>0.500306184935701</v>
      </c>
      <c r="J269" s="9">
        <f>B194</f>
        <v>190</v>
      </c>
      <c r="K269" s="29">
        <f t="shared" si="3"/>
        <v>0.6159760495339186</v>
      </c>
      <c r="L269" s="9">
        <f>B237</f>
        <v>191.9</v>
      </c>
      <c r="M269" s="29">
        <f t="shared" si="4"/>
        <v>0.63213581002925778</v>
      </c>
      <c r="N269" s="29"/>
      <c r="O269" s="29">
        <f t="shared" si="5"/>
        <v>0.14292678005083689</v>
      </c>
      <c r="P269" s="29">
        <f t="shared" si="6"/>
        <v>0.16526597875035412</v>
      </c>
      <c r="Q269" s="29">
        <f t="shared" si="7"/>
        <v>0.18590033746782331</v>
      </c>
      <c r="R269" s="29">
        <f t="shared" si="8"/>
        <v>0.17793596459873201</v>
      </c>
      <c r="S269" s="29">
        <f t="shared" si="9"/>
        <v>0.18368264326052236</v>
      </c>
      <c r="T269" s="29">
        <f t="shared" si="10"/>
        <v>0.17335222466076142</v>
      </c>
      <c r="V269" s="225">
        <f t="shared" si="11"/>
        <v>125.36104633867826</v>
      </c>
      <c r="W269" s="225">
        <f t="shared" si="12"/>
        <v>189.90035804019433</v>
      </c>
      <c r="X269" s="225">
        <f t="shared" si="13"/>
        <v>186.77161452625759</v>
      </c>
      <c r="Y269" s="225">
        <f t="shared" si="14"/>
        <v>203.50141199650898</v>
      </c>
      <c r="Z269" s="56">
        <f t="shared" si="15"/>
        <v>0.6233225386993414</v>
      </c>
      <c r="AA269" s="2"/>
      <c r="AB269" s="2"/>
    </row>
    <row r="270" spans="1:29">
      <c r="A270" s="107" t="s">
        <v>359</v>
      </c>
      <c r="B270" s="9">
        <f>B25</f>
        <v>119.46000000000001</v>
      </c>
      <c r="C270" s="9"/>
      <c r="D270" s="9">
        <f>B66</f>
        <v>122.87000000000002</v>
      </c>
      <c r="E270" s="29">
        <f t="shared" si="0"/>
        <v>2.854511970534079E-2</v>
      </c>
      <c r="F270" s="9">
        <f>B109</f>
        <v>127.435</v>
      </c>
      <c r="G270" s="29">
        <f t="shared" si="1"/>
        <v>6.6758747697974172E-2</v>
      </c>
      <c r="H270" s="9">
        <f>B152</f>
        <v>134.91500000000002</v>
      </c>
      <c r="I270" s="29">
        <f t="shared" si="2"/>
        <v>0.12937384898710874</v>
      </c>
      <c r="J270" s="9">
        <f>B197</f>
        <v>151.905</v>
      </c>
      <c r="K270" s="29">
        <f t="shared" si="3"/>
        <v>0.27159718734304361</v>
      </c>
      <c r="L270" s="9">
        <f>B240</f>
        <v>149.68299999999999</v>
      </c>
      <c r="M270" s="29">
        <f t="shared" si="4"/>
        <v>0.2529968190189183</v>
      </c>
      <c r="N270" s="29"/>
      <c r="O270" s="131">
        <f t="shared" si="5"/>
        <v>0.14521699279506853</v>
      </c>
      <c r="P270" s="131">
        <f t="shared" si="6"/>
        <v>0.13336111916104171</v>
      </c>
      <c r="Q270" s="131">
        <f t="shared" si="7"/>
        <v>0.13242151763673596</v>
      </c>
      <c r="R270" s="29">
        <f t="shared" si="8"/>
        <v>0.13608974299227855</v>
      </c>
      <c r="S270" s="29">
        <f t="shared" si="9"/>
        <v>0.14685427328678763</v>
      </c>
      <c r="T270" s="29">
        <f t="shared" si="10"/>
        <v>0.13521563858205704</v>
      </c>
      <c r="V270" s="225">
        <f t="shared" si="11"/>
        <v>127.36979141677304</v>
      </c>
      <c r="W270" s="225">
        <f t="shared" si="12"/>
        <v>135.2708335765912</v>
      </c>
      <c r="X270" s="225">
        <f t="shared" si="13"/>
        <v>142.84746243656491</v>
      </c>
      <c r="Y270" s="225">
        <f t="shared" si="14"/>
        <v>158.73216181278505</v>
      </c>
      <c r="Z270" s="56">
        <f t="shared" si="15"/>
        <v>0.2462308373685691</v>
      </c>
      <c r="AA270" s="2"/>
      <c r="AB270" s="2"/>
    </row>
    <row r="271" spans="1:29">
      <c r="A271" s="2" t="s">
        <v>327</v>
      </c>
      <c r="B271" s="9">
        <f>B27</f>
        <v>19.305000000000003</v>
      </c>
      <c r="C271" s="9"/>
      <c r="D271" s="9">
        <f>B68</f>
        <v>18.04</v>
      </c>
      <c r="E271" s="29">
        <f t="shared" si="0"/>
        <v>-6.5527065527065734E-2</v>
      </c>
      <c r="F271" s="9">
        <f>B111</f>
        <v>18.367800000000003</v>
      </c>
      <c r="G271" s="29">
        <f t="shared" si="1"/>
        <v>-4.8547008547008573E-2</v>
      </c>
      <c r="H271" s="9">
        <f>B154</f>
        <v>18.216000000000005</v>
      </c>
      <c r="I271" s="29">
        <f t="shared" si="2"/>
        <v>-5.6410256410256328E-2</v>
      </c>
      <c r="J271" s="9">
        <f>B199</f>
        <v>19.166819999999998</v>
      </c>
      <c r="K271" s="29">
        <f t="shared" si="3"/>
        <v>-7.1577311577314421E-3</v>
      </c>
      <c r="L271" s="9">
        <f>B242</f>
        <v>20.327859999999998</v>
      </c>
      <c r="M271" s="29">
        <f t="shared" si="4"/>
        <v>5.2984200984200681E-2</v>
      </c>
      <c r="N271" s="29"/>
      <c r="O271" s="29">
        <f t="shared" si="5"/>
        <v>2.3467386957214113E-2</v>
      </c>
      <c r="P271" s="29">
        <f t="shared" si="6"/>
        <v>1.9580325463214712E-2</v>
      </c>
      <c r="Q271" s="29">
        <f t="shared" si="7"/>
        <v>1.9086530008616466E-2</v>
      </c>
      <c r="R271" s="29">
        <f t="shared" si="8"/>
        <v>1.8374611854481315E-2</v>
      </c>
      <c r="S271" s="29">
        <f t="shared" si="9"/>
        <v>1.852953768683497E-2</v>
      </c>
      <c r="T271" s="29">
        <f t="shared" si="10"/>
        <v>1.8363104500221494E-2</v>
      </c>
      <c r="V271" s="225">
        <f t="shared" si="11"/>
        <v>20.583239773152549</v>
      </c>
      <c r="W271" s="225">
        <f t="shared" si="12"/>
        <v>19.49721518396133</v>
      </c>
      <c r="X271" s="225">
        <f t="shared" si="13"/>
        <v>19.287027949038034</v>
      </c>
      <c r="Y271" s="225">
        <f t="shared" si="14"/>
        <v>21.556791104050831</v>
      </c>
      <c r="Z271" s="56">
        <f t="shared" si="15"/>
        <v>4.7298255358620429E-2</v>
      </c>
      <c r="AA271" s="2"/>
      <c r="AB271" s="2"/>
    </row>
    <row r="272" spans="1:29">
      <c r="A272" s="2" t="s">
        <v>500</v>
      </c>
      <c r="B272" s="9">
        <f>B270+B271</f>
        <v>138.76500000000001</v>
      </c>
      <c r="C272" s="9"/>
      <c r="D272" s="9">
        <f>D270+D271</f>
        <v>140.91000000000003</v>
      </c>
      <c r="E272" s="29">
        <f>(D272-B272)/B272</f>
        <v>1.545778834720578E-2</v>
      </c>
      <c r="F272" s="9">
        <f>SUM(F270:F271)</f>
        <v>145.80279999999999</v>
      </c>
      <c r="G272" s="29">
        <f t="shared" si="1"/>
        <v>5.0717399920729114E-2</v>
      </c>
      <c r="H272" s="9">
        <f>B155</f>
        <v>153.13100000000003</v>
      </c>
      <c r="I272" s="29">
        <f t="shared" si="2"/>
        <v>0.10352754657154191</v>
      </c>
      <c r="J272" s="9">
        <f>B200</f>
        <v>171.07182</v>
      </c>
      <c r="K272" s="29">
        <f t="shared" si="3"/>
        <v>0.2328167765646956</v>
      </c>
      <c r="L272" s="9">
        <f>B243</f>
        <v>170.01085999999998</v>
      </c>
      <c r="M272" s="29">
        <f t="shared" si="4"/>
        <v>0.22517104457175774</v>
      </c>
      <c r="N272" s="29"/>
      <c r="O272" s="29">
        <f>B272/$B$275</f>
        <v>0.16868437975228265</v>
      </c>
      <c r="P272" s="29">
        <f>D272/$D$275</f>
        <v>0.15294144462425643</v>
      </c>
      <c r="Q272" s="29">
        <f t="shared" si="7"/>
        <v>0.15150804764535242</v>
      </c>
      <c r="R272" s="29">
        <f t="shared" si="8"/>
        <v>0.15446435484675988</v>
      </c>
      <c r="S272" s="29">
        <f t="shared" si="9"/>
        <v>0.16538381097362259</v>
      </c>
      <c r="T272" s="29">
        <f t="shared" si="10"/>
        <v>0.15357874308227853</v>
      </c>
      <c r="V272" s="225">
        <f t="shared" si="11"/>
        <v>147.95303118992555</v>
      </c>
      <c r="W272" s="225">
        <f t="shared" si="12"/>
        <v>154.76804876055252</v>
      </c>
      <c r="X272" s="225">
        <f t="shared" si="13"/>
        <v>162.13449038560296</v>
      </c>
      <c r="Y272" s="225">
        <f t="shared" si="14"/>
        <v>180.28895291683585</v>
      </c>
      <c r="Z272" s="56">
        <f t="shared" si="15"/>
        <v>0.21855531763591285</v>
      </c>
      <c r="AA272" s="2"/>
      <c r="AB272" s="2"/>
    </row>
    <row r="273" spans="1:28">
      <c r="A273" s="2" t="s">
        <v>369</v>
      </c>
      <c r="B273" s="9">
        <f>B31</f>
        <v>151.80000000000001</v>
      </c>
      <c r="C273" s="9"/>
      <c r="D273" s="9">
        <f>B72</f>
        <v>150.6</v>
      </c>
      <c r="E273" s="29">
        <f t="shared" si="0"/>
        <v>-7.9051383399210608E-3</v>
      </c>
      <c r="F273" s="9">
        <f>B117</f>
        <v>148.9</v>
      </c>
      <c r="G273" s="29">
        <f t="shared" si="1"/>
        <v>-1.9104084321475662E-2</v>
      </c>
      <c r="H273" s="9">
        <f>B158</f>
        <v>149.80000000000001</v>
      </c>
      <c r="I273" s="29">
        <f t="shared" si="2"/>
        <v>-1.3175230566534914E-2</v>
      </c>
      <c r="J273" s="9">
        <f>B205</f>
        <v>151.6</v>
      </c>
      <c r="K273" s="29">
        <f t="shared" si="3"/>
        <v>-1.3175230566536036E-3</v>
      </c>
      <c r="L273" s="9">
        <f>B248</f>
        <v>160.69999999999999</v>
      </c>
      <c r="M273" s="29">
        <f t="shared" si="4"/>
        <v>5.8629776021080215E-2</v>
      </c>
      <c r="N273" s="29"/>
      <c r="O273" s="29">
        <f t="shared" si="5"/>
        <v>0.18452988034732465</v>
      </c>
      <c r="P273" s="29">
        <f t="shared" si="6"/>
        <v>0.16345881456541775</v>
      </c>
      <c r="Q273" s="29">
        <f t="shared" si="7"/>
        <v>0.1547264407432023</v>
      </c>
      <c r="R273" s="29">
        <f t="shared" si="8"/>
        <v>0.15110435088939944</v>
      </c>
      <c r="S273" s="29">
        <f t="shared" si="9"/>
        <v>0.14655941430681677</v>
      </c>
      <c r="T273" s="29">
        <f t="shared" si="10"/>
        <v>0.14516780877011129</v>
      </c>
      <c r="V273" s="225">
        <f t="shared" si="11"/>
        <v>161.85111616496019</v>
      </c>
      <c r="W273" s="225">
        <f t="shared" si="12"/>
        <v>158.05569207481798</v>
      </c>
      <c r="X273" s="225">
        <f t="shared" si="13"/>
        <v>158.60764090721875</v>
      </c>
      <c r="Y273" s="225">
        <f t="shared" si="14"/>
        <v>170.41520014507032</v>
      </c>
      <c r="Z273" s="56">
        <f t="shared" si="15"/>
        <v>5.2913345196714805E-2</v>
      </c>
      <c r="AA273" s="2"/>
      <c r="AB273" s="2"/>
    </row>
    <row r="274" spans="1:28">
      <c r="A274" s="2" t="s">
        <v>180</v>
      </c>
      <c r="B274" s="9">
        <f>B37</f>
        <v>94</v>
      </c>
      <c r="C274" s="9"/>
      <c r="D274" s="9">
        <f>B79</f>
        <v>122</v>
      </c>
      <c r="E274" s="29">
        <f t="shared" si="0"/>
        <v>0.2978723404255319</v>
      </c>
      <c r="F274" s="9">
        <f>B122</f>
        <v>125</v>
      </c>
      <c r="G274" s="29">
        <f t="shared" si="1"/>
        <v>0.32978723404255317</v>
      </c>
      <c r="H274" s="9">
        <f>B165</f>
        <v>128</v>
      </c>
      <c r="I274" s="29">
        <f t="shared" si="2"/>
        <v>0.36170212765957449</v>
      </c>
      <c r="J274" s="9">
        <f>B210</f>
        <v>135</v>
      </c>
      <c r="K274" s="29">
        <f t="shared" si="3"/>
        <v>0.43617021276595747</v>
      </c>
      <c r="L274" s="9">
        <f>B253</f>
        <v>188</v>
      </c>
      <c r="M274" s="29">
        <f t="shared" si="4"/>
        <v>1</v>
      </c>
      <c r="N274" s="29"/>
      <c r="O274" s="29">
        <f t="shared" si="5"/>
        <v>0.11426751483958178</v>
      </c>
      <c r="P274" s="29">
        <f t="shared" si="6"/>
        <v>0.13241683517251637</v>
      </c>
      <c r="Q274" s="29">
        <f t="shared" si="7"/>
        <v>0.12989123635258756</v>
      </c>
      <c r="R274" s="29">
        <f t="shared" si="8"/>
        <v>0.12911453213513435</v>
      </c>
      <c r="S274" s="29">
        <f t="shared" si="9"/>
        <v>0.13051135179037116</v>
      </c>
      <c r="T274" s="29">
        <f t="shared" si="10"/>
        <v>0.16982917267443015</v>
      </c>
      <c r="V274" s="225">
        <f t="shared" si="11"/>
        <v>100.22401132744571</v>
      </c>
      <c r="W274" s="225">
        <f t="shared" si="12"/>
        <v>132.68610818906816</v>
      </c>
      <c r="X274" s="225">
        <f t="shared" si="13"/>
        <v>135.52588809161551</v>
      </c>
      <c r="Y274" s="225">
        <f t="shared" si="14"/>
        <v>199.36563551507913</v>
      </c>
      <c r="Z274" s="56">
        <f t="shared" si="15"/>
        <v>0.9892003211059277</v>
      </c>
      <c r="AA274" s="2"/>
      <c r="AB274" s="2"/>
    </row>
    <row r="275" spans="1:28" ht="15.75">
      <c r="B275" s="17">
        <f>SUM(B266:B274)-B272</f>
        <v>822.63099999999997</v>
      </c>
      <c r="C275" s="17"/>
      <c r="D275" s="17">
        <f>SUM(D266:D274)-D272</f>
        <v>921.33299999999986</v>
      </c>
      <c r="E275" s="123">
        <f t="shared" si="0"/>
        <v>0.11998332180528072</v>
      </c>
      <c r="F275" s="17">
        <f>SUM(F266:F274)-F272</f>
        <v>962.34360000000015</v>
      </c>
      <c r="G275" s="123">
        <f t="shared" si="1"/>
        <v>0.16983629355081462</v>
      </c>
      <c r="H275" s="17">
        <f>SUM(H266:H274)-H272</f>
        <v>991.36787999999979</v>
      </c>
      <c r="I275" s="123">
        <f t="shared" si="2"/>
        <v>0.20511855254664585</v>
      </c>
      <c r="J275" s="17">
        <f>SUM(J266:J274)-J272</f>
        <v>1034.3927800000001</v>
      </c>
      <c r="K275" s="29">
        <f t="shared" si="3"/>
        <v>0.25742013126176883</v>
      </c>
      <c r="L275" s="17">
        <f>SUM(L266:L274)-L272</f>
        <v>1106.9947349999998</v>
      </c>
      <c r="M275" s="29">
        <f t="shared" si="4"/>
        <v>0.34567592881863168</v>
      </c>
      <c r="N275" s="123"/>
      <c r="O275" s="123">
        <f t="shared" si="5"/>
        <v>1</v>
      </c>
      <c r="P275" s="123">
        <f t="shared" si="6"/>
        <v>1</v>
      </c>
      <c r="Q275" s="123">
        <f t="shared" si="7"/>
        <v>1</v>
      </c>
      <c r="R275" s="123">
        <f t="shared" si="8"/>
        <v>1</v>
      </c>
      <c r="S275" s="29">
        <f t="shared" si="9"/>
        <v>1</v>
      </c>
      <c r="T275" s="29">
        <f t="shared" si="10"/>
        <v>1</v>
      </c>
      <c r="V275" s="225">
        <f t="shared" si="11"/>
        <v>877.09977300327648</v>
      </c>
      <c r="W275" s="225">
        <f t="shared" si="12"/>
        <v>1021.5170161972587</v>
      </c>
      <c r="X275" s="225">
        <f t="shared" si="13"/>
        <v>1049.6563465820475</v>
      </c>
      <c r="Y275" s="225">
        <f t="shared" si="14"/>
        <v>1173.9186641229871</v>
      </c>
      <c r="Z275" s="56">
        <f t="shared" si="15"/>
        <v>0.33840949485526989</v>
      </c>
      <c r="AA275" s="2"/>
      <c r="AB275" s="2"/>
    </row>
    <row r="276" spans="1:28">
      <c r="V276" s="225"/>
      <c r="W276" s="225"/>
      <c r="X276" s="225"/>
      <c r="Y276" s="225"/>
      <c r="Z276" s="56"/>
      <c r="AA276" s="2"/>
      <c r="AB276" s="2"/>
    </row>
    <row r="277" spans="1:28">
      <c r="E277" s="41" t="s">
        <v>181</v>
      </c>
      <c r="G277" s="41" t="s">
        <v>514</v>
      </c>
      <c r="H277" s="41"/>
      <c r="I277" s="2" t="s">
        <v>689</v>
      </c>
      <c r="J277" s="2"/>
      <c r="K277" s="307" t="s">
        <v>823</v>
      </c>
      <c r="L277" s="2"/>
      <c r="M277" s="307" t="s">
        <v>824</v>
      </c>
      <c r="N277" s="2"/>
      <c r="V277" s="225"/>
      <c r="W277" s="225"/>
      <c r="X277" s="225"/>
      <c r="Y277" s="225"/>
      <c r="Z277" s="56"/>
      <c r="AA277" s="2"/>
      <c r="AB277" s="2"/>
    </row>
    <row r="278" spans="1:28" ht="25.5">
      <c r="A278" s="130" t="s">
        <v>501</v>
      </c>
      <c r="B278" s="9">
        <f>B272</f>
        <v>138.76500000000001</v>
      </c>
      <c r="D278" s="9">
        <f>D272</f>
        <v>140.91000000000003</v>
      </c>
      <c r="E278" s="29">
        <f t="shared" si="0"/>
        <v>1.545778834720578E-2</v>
      </c>
      <c r="F278" s="9">
        <f>F272</f>
        <v>145.80279999999999</v>
      </c>
      <c r="G278" s="29">
        <f>(F278-B278)/B278</f>
        <v>5.0717399920729114E-2</v>
      </c>
      <c r="H278" s="9">
        <f>H272</f>
        <v>153.13100000000003</v>
      </c>
      <c r="I278" s="29">
        <f>(H278-B278)/B278</f>
        <v>0.10352754657154191</v>
      </c>
      <c r="J278" s="9">
        <f t="shared" ref="J278" si="16">J272</f>
        <v>171.07182</v>
      </c>
      <c r="K278" s="29">
        <f>(J278-B278)/B278</f>
        <v>0.2328167765646956</v>
      </c>
      <c r="L278" s="9">
        <f t="shared" ref="L278" si="17">L272</f>
        <v>170.01085999999998</v>
      </c>
      <c r="M278" s="29">
        <f>(L278-B278)/B278</f>
        <v>0.22517104457175774</v>
      </c>
      <c r="N278" s="29"/>
      <c r="V278" s="225">
        <f t="shared" si="11"/>
        <v>147.95303118992555</v>
      </c>
      <c r="W278" s="225">
        <f t="shared" si="12"/>
        <v>154.76804876055252</v>
      </c>
      <c r="X278" s="225">
        <f t="shared" si="13"/>
        <v>162.13449038560296</v>
      </c>
      <c r="Y278" s="225">
        <f t="shared" ref="Y278:Y280" si="18">L278*1000000/$Y$265</f>
        <v>180.28895291683585</v>
      </c>
      <c r="Z278" s="56">
        <f t="shared" si="15"/>
        <v>0.21855531763591285</v>
      </c>
      <c r="AA278" s="2"/>
      <c r="AB278" s="2"/>
    </row>
    <row r="279" spans="1:28">
      <c r="A279" s="2" t="s">
        <v>373</v>
      </c>
      <c r="B279" s="9">
        <f>B275</f>
        <v>822.63099999999997</v>
      </c>
      <c r="D279" s="9">
        <f>D275</f>
        <v>921.33299999999986</v>
      </c>
      <c r="E279" s="29">
        <f t="shared" si="0"/>
        <v>0.11998332180528072</v>
      </c>
      <c r="F279" s="9">
        <f>F275</f>
        <v>962.34360000000015</v>
      </c>
      <c r="G279" s="29">
        <f>(F279-B279)/B279</f>
        <v>0.16983629355081462</v>
      </c>
      <c r="H279" s="9">
        <f>H275</f>
        <v>991.36787999999979</v>
      </c>
      <c r="I279" s="29">
        <f>(H279-B279)/B279</f>
        <v>0.20511855254664585</v>
      </c>
      <c r="J279" s="9">
        <f t="shared" ref="J279" si="19">J275</f>
        <v>1034.3927800000001</v>
      </c>
      <c r="K279" s="29">
        <f t="shared" ref="K279:K280" si="20">(J279-B279)/B279</f>
        <v>0.25742013126176883</v>
      </c>
      <c r="L279" s="9">
        <f t="shared" ref="L279" si="21">L275</f>
        <v>1106.9947349999998</v>
      </c>
      <c r="M279" s="29">
        <f t="shared" ref="M279:M280" si="22">(L279-B279)/B279</f>
        <v>0.34567592881863168</v>
      </c>
      <c r="N279" s="29"/>
      <c r="V279" s="225">
        <f t="shared" si="11"/>
        <v>877.09977300327648</v>
      </c>
      <c r="W279" s="225">
        <f t="shared" si="12"/>
        <v>1021.5170161972587</v>
      </c>
      <c r="X279" s="225">
        <f t="shared" si="13"/>
        <v>1049.6563465820475</v>
      </c>
      <c r="Y279" s="225">
        <f t="shared" si="18"/>
        <v>1173.9186641229871</v>
      </c>
      <c r="Z279" s="56">
        <f t="shared" si="15"/>
        <v>0.33840949485526989</v>
      </c>
      <c r="AA279" s="2"/>
      <c r="AB279" s="2"/>
    </row>
    <row r="280" spans="1:28" ht="25.5">
      <c r="A280" s="130" t="s">
        <v>502</v>
      </c>
      <c r="B280" s="9">
        <f>B279-B278</f>
        <v>683.86599999999999</v>
      </c>
      <c r="D280" s="9">
        <f>D279-D278</f>
        <v>780.42299999999977</v>
      </c>
      <c r="E280" s="29">
        <f t="shared" si="0"/>
        <v>0.14119286526892666</v>
      </c>
      <c r="F280" s="9">
        <f>F279-F278</f>
        <v>816.54080000000022</v>
      </c>
      <c r="G280" s="29">
        <f>(F280-B280)/B280</f>
        <v>0.19400701306981227</v>
      </c>
      <c r="H280" s="9">
        <f>H279-H278</f>
        <v>838.2368799999997</v>
      </c>
      <c r="I280" s="29">
        <f>(H280-B280)/B280</f>
        <v>0.22573264352957995</v>
      </c>
      <c r="J280" s="9">
        <f t="shared" ref="J280" si="23">J279-J278</f>
        <v>863.32096000000013</v>
      </c>
      <c r="K280" s="29">
        <f t="shared" si="20"/>
        <v>0.26241246092070691</v>
      </c>
      <c r="L280" s="9">
        <f t="shared" ref="L280" si="24">L279-L278</f>
        <v>936.98387499999978</v>
      </c>
      <c r="M280" s="29">
        <f t="shared" si="22"/>
        <v>0.37012788324028362</v>
      </c>
      <c r="N280" s="29"/>
      <c r="V280" s="225">
        <f t="shared" si="11"/>
        <v>729.1467418133509</v>
      </c>
      <c r="W280" s="225">
        <f t="shared" si="12"/>
        <v>866.74896743670638</v>
      </c>
      <c r="X280" s="225">
        <f t="shared" si="13"/>
        <v>887.52185619644445</v>
      </c>
      <c r="Y280" s="225">
        <f t="shared" si="18"/>
        <v>993.62971120615123</v>
      </c>
      <c r="Z280" s="56">
        <f t="shared" si="15"/>
        <v>0.36272941264887865</v>
      </c>
      <c r="AA280" s="2"/>
      <c r="AB280" s="2"/>
    </row>
    <row r="283" spans="1:28">
      <c r="A283" s="52" t="s">
        <v>441</v>
      </c>
    </row>
    <row r="284" spans="1:28">
      <c r="A284" s="52" t="s">
        <v>573</v>
      </c>
    </row>
    <row r="285" spans="1:28">
      <c r="A285" s="106" t="s">
        <v>676</v>
      </c>
      <c r="B285" s="39"/>
      <c r="C285" s="39"/>
      <c r="D285" s="39"/>
      <c r="E285" s="39"/>
    </row>
    <row r="286" spans="1:28">
      <c r="A286" s="52" t="s">
        <v>760</v>
      </c>
    </row>
    <row r="287" spans="1:28">
      <c r="A287" s="52" t="s">
        <v>773</v>
      </c>
    </row>
    <row r="288" spans="1:28">
      <c r="A288" s="149" t="s">
        <v>816</v>
      </c>
      <c r="B288" s="136"/>
      <c r="C288" s="136"/>
      <c r="D288" s="136"/>
    </row>
  </sheetData>
  <mergeCells count="2">
    <mergeCell ref="E145:P145"/>
    <mergeCell ref="Z264:AB264"/>
  </mergeCells>
  <hyperlinks>
    <hyperlink ref="V18" r:id="rId1"/>
    <hyperlink ref="V60" r:id="rId2"/>
    <hyperlink ref="V25" r:id="rId3"/>
    <hyperlink ref="U103" r:id="rId4"/>
    <hyperlink ref="U97" r:id="rId5"/>
    <hyperlink ref="U158" r:id="rId6"/>
  </hyperlinks>
  <pageMargins left="0.70866141732283472" right="0.70866141732283472" top="0.74803149606299213" bottom="0.74803149606299213" header="0.31496062992125984" footer="0.31496062992125984"/>
  <pageSetup scale="80" orientation="landscape" verticalDpi="0" r:id="rId7"/>
</worksheet>
</file>

<file path=xl/worksheets/sheet35.xml><?xml version="1.0" encoding="utf-8"?>
<worksheet xmlns="http://schemas.openxmlformats.org/spreadsheetml/2006/main" xmlns:r="http://schemas.openxmlformats.org/officeDocument/2006/relationships">
  <sheetPr>
    <tabColor rgb="FFFF0000"/>
  </sheetPr>
  <dimension ref="A1:AE276"/>
  <sheetViews>
    <sheetView topLeftCell="A250" workbookViewId="0">
      <selection activeCell="M254" sqref="M254"/>
    </sheetView>
  </sheetViews>
  <sheetFormatPr defaultRowHeight="12.75"/>
  <cols>
    <col min="1" max="1" width="35.42578125" customWidth="1"/>
    <col min="2" max="2" width="10.140625" customWidth="1"/>
    <col min="3" max="3" width="2.7109375" customWidth="1"/>
    <col min="4" max="4" width="14" customWidth="1"/>
    <col min="5" max="7" width="9.28515625" bestFit="1" customWidth="1"/>
    <col min="8" max="8" width="9.42578125" bestFit="1" customWidth="1"/>
    <col min="9" max="9" width="9.28515625" bestFit="1" customWidth="1"/>
    <col min="10" max="14" width="9.28515625" customWidth="1"/>
    <col min="15" max="18" width="9.28515625" bestFit="1" customWidth="1"/>
    <col min="19" max="19" width="9.28515625" customWidth="1"/>
    <col min="21" max="21" width="10" customWidth="1"/>
    <col min="22" max="23" width="12.140625" bestFit="1" customWidth="1"/>
    <col min="24" max="25" width="12.140625" customWidth="1"/>
    <col min="267" max="267" width="35.42578125" customWidth="1"/>
    <col min="268" max="268" width="10.140625" customWidth="1"/>
    <col min="269" max="269" width="14" customWidth="1"/>
    <col min="270" max="270" width="10.140625" customWidth="1"/>
    <col min="271" max="271" width="14" customWidth="1"/>
    <col min="279" max="279" width="10" customWidth="1"/>
    <col min="523" max="523" width="35.42578125" customWidth="1"/>
    <col min="524" max="524" width="10.140625" customWidth="1"/>
    <col min="525" max="525" width="14" customWidth="1"/>
    <col min="526" max="526" width="10.140625" customWidth="1"/>
    <col min="527" max="527" width="14" customWidth="1"/>
    <col min="535" max="535" width="10" customWidth="1"/>
    <col min="779" max="779" width="35.42578125" customWidth="1"/>
    <col min="780" max="780" width="10.140625" customWidth="1"/>
    <col min="781" max="781" width="14" customWidth="1"/>
    <col min="782" max="782" width="10.140625" customWidth="1"/>
    <col min="783" max="783" width="14" customWidth="1"/>
    <col min="791" max="791" width="10" customWidth="1"/>
    <col min="1035" max="1035" width="35.42578125" customWidth="1"/>
    <col min="1036" max="1036" width="10.140625" customWidth="1"/>
    <col min="1037" max="1037" width="14" customWidth="1"/>
    <col min="1038" max="1038" width="10.140625" customWidth="1"/>
    <col min="1039" max="1039" width="14" customWidth="1"/>
    <col min="1047" max="1047" width="10" customWidth="1"/>
    <col min="1291" max="1291" width="35.42578125" customWidth="1"/>
    <col min="1292" max="1292" width="10.140625" customWidth="1"/>
    <col min="1293" max="1293" width="14" customWidth="1"/>
    <col min="1294" max="1294" width="10.140625" customWidth="1"/>
    <col min="1295" max="1295" width="14" customWidth="1"/>
    <col min="1303" max="1303" width="10" customWidth="1"/>
    <col min="1547" max="1547" width="35.42578125" customWidth="1"/>
    <col min="1548" max="1548" width="10.140625" customWidth="1"/>
    <col min="1549" max="1549" width="14" customWidth="1"/>
    <col min="1550" max="1550" width="10.140625" customWidth="1"/>
    <col min="1551" max="1551" width="14" customWidth="1"/>
    <col min="1559" max="1559" width="10" customWidth="1"/>
    <col min="1803" max="1803" width="35.42578125" customWidth="1"/>
    <col min="1804" max="1804" width="10.140625" customWidth="1"/>
    <col min="1805" max="1805" width="14" customWidth="1"/>
    <col min="1806" max="1806" width="10.140625" customWidth="1"/>
    <col min="1807" max="1807" width="14" customWidth="1"/>
    <col min="1815" max="1815" width="10" customWidth="1"/>
    <col min="2059" max="2059" width="35.42578125" customWidth="1"/>
    <col min="2060" max="2060" width="10.140625" customWidth="1"/>
    <col min="2061" max="2061" width="14" customWidth="1"/>
    <col min="2062" max="2062" width="10.140625" customWidth="1"/>
    <col min="2063" max="2063" width="14" customWidth="1"/>
    <col min="2071" max="2071" width="10" customWidth="1"/>
    <col min="2315" max="2315" width="35.42578125" customWidth="1"/>
    <col min="2316" max="2316" width="10.140625" customWidth="1"/>
    <col min="2317" max="2317" width="14" customWidth="1"/>
    <col min="2318" max="2318" width="10.140625" customWidth="1"/>
    <col min="2319" max="2319" width="14" customWidth="1"/>
    <col min="2327" max="2327" width="10" customWidth="1"/>
    <col min="2571" max="2571" width="35.42578125" customWidth="1"/>
    <col min="2572" max="2572" width="10.140625" customWidth="1"/>
    <col min="2573" max="2573" width="14" customWidth="1"/>
    <col min="2574" max="2574" width="10.140625" customWidth="1"/>
    <col min="2575" max="2575" width="14" customWidth="1"/>
    <col min="2583" max="2583" width="10" customWidth="1"/>
    <col min="2827" max="2827" width="35.42578125" customWidth="1"/>
    <col min="2828" max="2828" width="10.140625" customWidth="1"/>
    <col min="2829" max="2829" width="14" customWidth="1"/>
    <col min="2830" max="2830" width="10.140625" customWidth="1"/>
    <col min="2831" max="2831" width="14" customWidth="1"/>
    <col min="2839" max="2839" width="10" customWidth="1"/>
    <col min="3083" max="3083" width="35.42578125" customWidth="1"/>
    <col min="3084" max="3084" width="10.140625" customWidth="1"/>
    <col min="3085" max="3085" width="14" customWidth="1"/>
    <col min="3086" max="3086" width="10.140625" customWidth="1"/>
    <col min="3087" max="3087" width="14" customWidth="1"/>
    <col min="3095" max="3095" width="10" customWidth="1"/>
    <col min="3339" max="3339" width="35.42578125" customWidth="1"/>
    <col min="3340" max="3340" width="10.140625" customWidth="1"/>
    <col min="3341" max="3341" width="14" customWidth="1"/>
    <col min="3342" max="3342" width="10.140625" customWidth="1"/>
    <col min="3343" max="3343" width="14" customWidth="1"/>
    <col min="3351" max="3351" width="10" customWidth="1"/>
    <col min="3595" max="3595" width="35.42578125" customWidth="1"/>
    <col min="3596" max="3596" width="10.140625" customWidth="1"/>
    <col min="3597" max="3597" width="14" customWidth="1"/>
    <col min="3598" max="3598" width="10.140625" customWidth="1"/>
    <col min="3599" max="3599" width="14" customWidth="1"/>
    <col min="3607" max="3607" width="10" customWidth="1"/>
    <col min="3851" max="3851" width="35.42578125" customWidth="1"/>
    <col min="3852" max="3852" width="10.140625" customWidth="1"/>
    <col min="3853" max="3853" width="14" customWidth="1"/>
    <col min="3854" max="3854" width="10.140625" customWidth="1"/>
    <col min="3855" max="3855" width="14" customWidth="1"/>
    <col min="3863" max="3863" width="10" customWidth="1"/>
    <col min="4107" max="4107" width="35.42578125" customWidth="1"/>
    <col min="4108" max="4108" width="10.140625" customWidth="1"/>
    <col min="4109" max="4109" width="14" customWidth="1"/>
    <col min="4110" max="4110" width="10.140625" customWidth="1"/>
    <col min="4111" max="4111" width="14" customWidth="1"/>
    <col min="4119" max="4119" width="10" customWidth="1"/>
    <col min="4363" max="4363" width="35.42578125" customWidth="1"/>
    <col min="4364" max="4364" width="10.140625" customWidth="1"/>
    <col min="4365" max="4365" width="14" customWidth="1"/>
    <col min="4366" max="4366" width="10.140625" customWidth="1"/>
    <col min="4367" max="4367" width="14" customWidth="1"/>
    <col min="4375" max="4375" width="10" customWidth="1"/>
    <col min="4619" max="4619" width="35.42578125" customWidth="1"/>
    <col min="4620" max="4620" width="10.140625" customWidth="1"/>
    <col min="4621" max="4621" width="14" customWidth="1"/>
    <col min="4622" max="4622" width="10.140625" customWidth="1"/>
    <col min="4623" max="4623" width="14" customWidth="1"/>
    <col min="4631" max="4631" width="10" customWidth="1"/>
    <col min="4875" max="4875" width="35.42578125" customWidth="1"/>
    <col min="4876" max="4876" width="10.140625" customWidth="1"/>
    <col min="4877" max="4877" width="14" customWidth="1"/>
    <col min="4878" max="4878" width="10.140625" customWidth="1"/>
    <col min="4879" max="4879" width="14" customWidth="1"/>
    <col min="4887" max="4887" width="10" customWidth="1"/>
    <col min="5131" max="5131" width="35.42578125" customWidth="1"/>
    <col min="5132" max="5132" width="10.140625" customWidth="1"/>
    <col min="5133" max="5133" width="14" customWidth="1"/>
    <col min="5134" max="5134" width="10.140625" customWidth="1"/>
    <col min="5135" max="5135" width="14" customWidth="1"/>
    <col min="5143" max="5143" width="10" customWidth="1"/>
    <col min="5387" max="5387" width="35.42578125" customWidth="1"/>
    <col min="5388" max="5388" width="10.140625" customWidth="1"/>
    <col min="5389" max="5389" width="14" customWidth="1"/>
    <col min="5390" max="5390" width="10.140625" customWidth="1"/>
    <col min="5391" max="5391" width="14" customWidth="1"/>
    <col min="5399" max="5399" width="10" customWidth="1"/>
    <col min="5643" max="5643" width="35.42578125" customWidth="1"/>
    <col min="5644" max="5644" width="10.140625" customWidth="1"/>
    <col min="5645" max="5645" width="14" customWidth="1"/>
    <col min="5646" max="5646" width="10.140625" customWidth="1"/>
    <col min="5647" max="5647" width="14" customWidth="1"/>
    <col min="5655" max="5655" width="10" customWidth="1"/>
    <col min="5899" max="5899" width="35.42578125" customWidth="1"/>
    <col min="5900" max="5900" width="10.140625" customWidth="1"/>
    <col min="5901" max="5901" width="14" customWidth="1"/>
    <col min="5902" max="5902" width="10.140625" customWidth="1"/>
    <col min="5903" max="5903" width="14" customWidth="1"/>
    <col min="5911" max="5911" width="10" customWidth="1"/>
    <col min="6155" max="6155" width="35.42578125" customWidth="1"/>
    <col min="6156" max="6156" width="10.140625" customWidth="1"/>
    <col min="6157" max="6157" width="14" customWidth="1"/>
    <col min="6158" max="6158" width="10.140625" customWidth="1"/>
    <col min="6159" max="6159" width="14" customWidth="1"/>
    <col min="6167" max="6167" width="10" customWidth="1"/>
    <col min="6411" max="6411" width="35.42578125" customWidth="1"/>
    <col min="6412" max="6412" width="10.140625" customWidth="1"/>
    <col min="6413" max="6413" width="14" customWidth="1"/>
    <col min="6414" max="6414" width="10.140625" customWidth="1"/>
    <col min="6415" max="6415" width="14" customWidth="1"/>
    <col min="6423" max="6423" width="10" customWidth="1"/>
    <col min="6667" max="6667" width="35.42578125" customWidth="1"/>
    <col min="6668" max="6668" width="10.140625" customWidth="1"/>
    <col min="6669" max="6669" width="14" customWidth="1"/>
    <col min="6670" max="6670" width="10.140625" customWidth="1"/>
    <col min="6671" max="6671" width="14" customWidth="1"/>
    <col min="6679" max="6679" width="10" customWidth="1"/>
    <col min="6923" max="6923" width="35.42578125" customWidth="1"/>
    <col min="6924" max="6924" width="10.140625" customWidth="1"/>
    <col min="6925" max="6925" width="14" customWidth="1"/>
    <col min="6926" max="6926" width="10.140625" customWidth="1"/>
    <col min="6927" max="6927" width="14" customWidth="1"/>
    <col min="6935" max="6935" width="10" customWidth="1"/>
    <col min="7179" max="7179" width="35.42578125" customWidth="1"/>
    <col min="7180" max="7180" width="10.140625" customWidth="1"/>
    <col min="7181" max="7181" width="14" customWidth="1"/>
    <col min="7182" max="7182" width="10.140625" customWidth="1"/>
    <col min="7183" max="7183" width="14" customWidth="1"/>
    <col min="7191" max="7191" width="10" customWidth="1"/>
    <col min="7435" max="7435" width="35.42578125" customWidth="1"/>
    <col min="7436" max="7436" width="10.140625" customWidth="1"/>
    <col min="7437" max="7437" width="14" customWidth="1"/>
    <col min="7438" max="7438" width="10.140625" customWidth="1"/>
    <col min="7439" max="7439" width="14" customWidth="1"/>
    <col min="7447" max="7447" width="10" customWidth="1"/>
    <col min="7691" max="7691" width="35.42578125" customWidth="1"/>
    <col min="7692" max="7692" width="10.140625" customWidth="1"/>
    <col min="7693" max="7693" width="14" customWidth="1"/>
    <col min="7694" max="7694" width="10.140625" customWidth="1"/>
    <col min="7695" max="7695" width="14" customWidth="1"/>
    <col min="7703" max="7703" width="10" customWidth="1"/>
    <col min="7947" max="7947" width="35.42578125" customWidth="1"/>
    <col min="7948" max="7948" width="10.140625" customWidth="1"/>
    <col min="7949" max="7949" width="14" customWidth="1"/>
    <col min="7950" max="7950" width="10.140625" customWidth="1"/>
    <col min="7951" max="7951" width="14" customWidth="1"/>
    <col min="7959" max="7959" width="10" customWidth="1"/>
    <col min="8203" max="8203" width="35.42578125" customWidth="1"/>
    <col min="8204" max="8204" width="10.140625" customWidth="1"/>
    <col min="8205" max="8205" width="14" customWidth="1"/>
    <col min="8206" max="8206" width="10.140625" customWidth="1"/>
    <col min="8207" max="8207" width="14" customWidth="1"/>
    <col min="8215" max="8215" width="10" customWidth="1"/>
    <col min="8459" max="8459" width="35.42578125" customWidth="1"/>
    <col min="8460" max="8460" width="10.140625" customWidth="1"/>
    <col min="8461" max="8461" width="14" customWidth="1"/>
    <col min="8462" max="8462" width="10.140625" customWidth="1"/>
    <col min="8463" max="8463" width="14" customWidth="1"/>
    <col min="8471" max="8471" width="10" customWidth="1"/>
    <col min="8715" max="8715" width="35.42578125" customWidth="1"/>
    <col min="8716" max="8716" width="10.140625" customWidth="1"/>
    <col min="8717" max="8717" width="14" customWidth="1"/>
    <col min="8718" max="8718" width="10.140625" customWidth="1"/>
    <col min="8719" max="8719" width="14" customWidth="1"/>
    <col min="8727" max="8727" width="10" customWidth="1"/>
    <col min="8971" max="8971" width="35.42578125" customWidth="1"/>
    <col min="8972" max="8972" width="10.140625" customWidth="1"/>
    <col min="8973" max="8973" width="14" customWidth="1"/>
    <col min="8974" max="8974" width="10.140625" customWidth="1"/>
    <col min="8975" max="8975" width="14" customWidth="1"/>
    <col min="8983" max="8983" width="10" customWidth="1"/>
    <col min="9227" max="9227" width="35.42578125" customWidth="1"/>
    <col min="9228" max="9228" width="10.140625" customWidth="1"/>
    <col min="9229" max="9229" width="14" customWidth="1"/>
    <col min="9230" max="9230" width="10.140625" customWidth="1"/>
    <col min="9231" max="9231" width="14" customWidth="1"/>
    <col min="9239" max="9239" width="10" customWidth="1"/>
    <col min="9483" max="9483" width="35.42578125" customWidth="1"/>
    <col min="9484" max="9484" width="10.140625" customWidth="1"/>
    <col min="9485" max="9485" width="14" customWidth="1"/>
    <col min="9486" max="9486" width="10.140625" customWidth="1"/>
    <col min="9487" max="9487" width="14" customWidth="1"/>
    <col min="9495" max="9495" width="10" customWidth="1"/>
    <col min="9739" max="9739" width="35.42578125" customWidth="1"/>
    <col min="9740" max="9740" width="10.140625" customWidth="1"/>
    <col min="9741" max="9741" width="14" customWidth="1"/>
    <col min="9742" max="9742" width="10.140625" customWidth="1"/>
    <col min="9743" max="9743" width="14" customWidth="1"/>
    <col min="9751" max="9751" width="10" customWidth="1"/>
    <col min="9995" max="9995" width="35.42578125" customWidth="1"/>
    <col min="9996" max="9996" width="10.140625" customWidth="1"/>
    <col min="9997" max="9997" width="14" customWidth="1"/>
    <col min="9998" max="9998" width="10.140625" customWidth="1"/>
    <col min="9999" max="9999" width="14" customWidth="1"/>
    <col min="10007" max="10007" width="10" customWidth="1"/>
    <col min="10251" max="10251" width="35.42578125" customWidth="1"/>
    <col min="10252" max="10252" width="10.140625" customWidth="1"/>
    <col min="10253" max="10253" width="14" customWidth="1"/>
    <col min="10254" max="10254" width="10.140625" customWidth="1"/>
    <col min="10255" max="10255" width="14" customWidth="1"/>
    <col min="10263" max="10263" width="10" customWidth="1"/>
    <col min="10507" max="10507" width="35.42578125" customWidth="1"/>
    <col min="10508" max="10508" width="10.140625" customWidth="1"/>
    <col min="10509" max="10509" width="14" customWidth="1"/>
    <col min="10510" max="10510" width="10.140625" customWidth="1"/>
    <col min="10511" max="10511" width="14" customWidth="1"/>
    <col min="10519" max="10519" width="10" customWidth="1"/>
    <col min="10763" max="10763" width="35.42578125" customWidth="1"/>
    <col min="10764" max="10764" width="10.140625" customWidth="1"/>
    <col min="10765" max="10765" width="14" customWidth="1"/>
    <col min="10766" max="10766" width="10.140625" customWidth="1"/>
    <col min="10767" max="10767" width="14" customWidth="1"/>
    <col min="10775" max="10775" width="10" customWidth="1"/>
    <col min="11019" max="11019" width="35.42578125" customWidth="1"/>
    <col min="11020" max="11020" width="10.140625" customWidth="1"/>
    <col min="11021" max="11021" width="14" customWidth="1"/>
    <col min="11022" max="11022" width="10.140625" customWidth="1"/>
    <col min="11023" max="11023" width="14" customWidth="1"/>
    <col min="11031" max="11031" width="10" customWidth="1"/>
    <col min="11275" max="11275" width="35.42578125" customWidth="1"/>
    <col min="11276" max="11276" width="10.140625" customWidth="1"/>
    <col min="11277" max="11277" width="14" customWidth="1"/>
    <col min="11278" max="11278" width="10.140625" customWidth="1"/>
    <col min="11279" max="11279" width="14" customWidth="1"/>
    <col min="11287" max="11287" width="10" customWidth="1"/>
    <col min="11531" max="11531" width="35.42578125" customWidth="1"/>
    <col min="11532" max="11532" width="10.140625" customWidth="1"/>
    <col min="11533" max="11533" width="14" customWidth="1"/>
    <col min="11534" max="11534" width="10.140625" customWidth="1"/>
    <col min="11535" max="11535" width="14" customWidth="1"/>
    <col min="11543" max="11543" width="10" customWidth="1"/>
    <col min="11787" max="11787" width="35.42578125" customWidth="1"/>
    <col min="11788" max="11788" width="10.140625" customWidth="1"/>
    <col min="11789" max="11789" width="14" customWidth="1"/>
    <col min="11790" max="11790" width="10.140625" customWidth="1"/>
    <col min="11791" max="11791" width="14" customWidth="1"/>
    <col min="11799" max="11799" width="10" customWidth="1"/>
    <col min="12043" max="12043" width="35.42578125" customWidth="1"/>
    <col min="12044" max="12044" width="10.140625" customWidth="1"/>
    <col min="12045" max="12045" width="14" customWidth="1"/>
    <col min="12046" max="12046" width="10.140625" customWidth="1"/>
    <col min="12047" max="12047" width="14" customWidth="1"/>
    <col min="12055" max="12055" width="10" customWidth="1"/>
    <col min="12299" max="12299" width="35.42578125" customWidth="1"/>
    <col min="12300" max="12300" width="10.140625" customWidth="1"/>
    <col min="12301" max="12301" width="14" customWidth="1"/>
    <col min="12302" max="12302" width="10.140625" customWidth="1"/>
    <col min="12303" max="12303" width="14" customWidth="1"/>
    <col min="12311" max="12311" width="10" customWidth="1"/>
    <col min="12555" max="12555" width="35.42578125" customWidth="1"/>
    <col min="12556" max="12556" width="10.140625" customWidth="1"/>
    <col min="12557" max="12557" width="14" customWidth="1"/>
    <col min="12558" max="12558" width="10.140625" customWidth="1"/>
    <col min="12559" max="12559" width="14" customWidth="1"/>
    <col min="12567" max="12567" width="10" customWidth="1"/>
    <col min="12811" max="12811" width="35.42578125" customWidth="1"/>
    <col min="12812" max="12812" width="10.140625" customWidth="1"/>
    <col min="12813" max="12813" width="14" customWidth="1"/>
    <col min="12814" max="12814" width="10.140625" customWidth="1"/>
    <col min="12815" max="12815" width="14" customWidth="1"/>
    <col min="12823" max="12823" width="10" customWidth="1"/>
    <col min="13067" max="13067" width="35.42578125" customWidth="1"/>
    <col min="13068" max="13068" width="10.140625" customWidth="1"/>
    <col min="13069" max="13069" width="14" customWidth="1"/>
    <col min="13070" max="13070" width="10.140625" customWidth="1"/>
    <col min="13071" max="13071" width="14" customWidth="1"/>
    <col min="13079" max="13079" width="10" customWidth="1"/>
    <col min="13323" max="13323" width="35.42578125" customWidth="1"/>
    <col min="13324" max="13324" width="10.140625" customWidth="1"/>
    <col min="13325" max="13325" width="14" customWidth="1"/>
    <col min="13326" max="13326" width="10.140625" customWidth="1"/>
    <col min="13327" max="13327" width="14" customWidth="1"/>
    <col min="13335" max="13335" width="10" customWidth="1"/>
    <col min="13579" max="13579" width="35.42578125" customWidth="1"/>
    <col min="13580" max="13580" width="10.140625" customWidth="1"/>
    <col min="13581" max="13581" width="14" customWidth="1"/>
    <col min="13582" max="13582" width="10.140625" customWidth="1"/>
    <col min="13583" max="13583" width="14" customWidth="1"/>
    <col min="13591" max="13591" width="10" customWidth="1"/>
    <col min="13835" max="13835" width="35.42578125" customWidth="1"/>
    <col min="13836" max="13836" width="10.140625" customWidth="1"/>
    <col min="13837" max="13837" width="14" customWidth="1"/>
    <col min="13838" max="13838" width="10.140625" customWidth="1"/>
    <col min="13839" max="13839" width="14" customWidth="1"/>
    <col min="13847" max="13847" width="10" customWidth="1"/>
    <col min="14091" max="14091" width="35.42578125" customWidth="1"/>
    <col min="14092" max="14092" width="10.140625" customWidth="1"/>
    <col min="14093" max="14093" width="14" customWidth="1"/>
    <col min="14094" max="14094" width="10.140625" customWidth="1"/>
    <col min="14095" max="14095" width="14" customWidth="1"/>
    <col min="14103" max="14103" width="10" customWidth="1"/>
    <col min="14347" max="14347" width="35.42578125" customWidth="1"/>
    <col min="14348" max="14348" width="10.140625" customWidth="1"/>
    <col min="14349" max="14349" width="14" customWidth="1"/>
    <col min="14350" max="14350" width="10.140625" customWidth="1"/>
    <col min="14351" max="14351" width="14" customWidth="1"/>
    <col min="14359" max="14359" width="10" customWidth="1"/>
    <col min="14603" max="14603" width="35.42578125" customWidth="1"/>
    <col min="14604" max="14604" width="10.140625" customWidth="1"/>
    <col min="14605" max="14605" width="14" customWidth="1"/>
    <col min="14606" max="14606" width="10.140625" customWidth="1"/>
    <col min="14607" max="14607" width="14" customWidth="1"/>
    <col min="14615" max="14615" width="10" customWidth="1"/>
    <col min="14859" max="14859" width="35.42578125" customWidth="1"/>
    <col min="14860" max="14860" width="10.140625" customWidth="1"/>
    <col min="14861" max="14861" width="14" customWidth="1"/>
    <col min="14862" max="14862" width="10.140625" customWidth="1"/>
    <col min="14863" max="14863" width="14" customWidth="1"/>
    <col min="14871" max="14871" width="10" customWidth="1"/>
    <col min="15115" max="15115" width="35.42578125" customWidth="1"/>
    <col min="15116" max="15116" width="10.140625" customWidth="1"/>
    <col min="15117" max="15117" width="14" customWidth="1"/>
    <col min="15118" max="15118" width="10.140625" customWidth="1"/>
    <col min="15119" max="15119" width="14" customWidth="1"/>
    <col min="15127" max="15127" width="10" customWidth="1"/>
    <col min="15371" max="15371" width="35.42578125" customWidth="1"/>
    <col min="15372" max="15372" width="10.140625" customWidth="1"/>
    <col min="15373" max="15373" width="14" customWidth="1"/>
    <col min="15374" max="15374" width="10.140625" customWidth="1"/>
    <col min="15375" max="15375" width="14" customWidth="1"/>
    <col min="15383" max="15383" width="10" customWidth="1"/>
    <col min="15627" max="15627" width="35.42578125" customWidth="1"/>
    <col min="15628" max="15628" width="10.140625" customWidth="1"/>
    <col min="15629" max="15629" width="14" customWidth="1"/>
    <col min="15630" max="15630" width="10.140625" customWidth="1"/>
    <col min="15631" max="15631" width="14" customWidth="1"/>
    <col min="15639" max="15639" width="10" customWidth="1"/>
    <col min="15883" max="15883" width="35.42578125" customWidth="1"/>
    <col min="15884" max="15884" width="10.140625" customWidth="1"/>
    <col min="15885" max="15885" width="14" customWidth="1"/>
    <col min="15886" max="15886" width="10.140625" customWidth="1"/>
    <col min="15887" max="15887" width="14" customWidth="1"/>
    <col min="15895" max="15895" width="10" customWidth="1"/>
    <col min="16139" max="16139" width="35.42578125" customWidth="1"/>
    <col min="16140" max="16140" width="10.140625" customWidth="1"/>
    <col min="16141" max="16141" width="14" customWidth="1"/>
    <col min="16142" max="16142" width="10.140625" customWidth="1"/>
    <col min="16143" max="16143" width="14" customWidth="1"/>
    <col min="16151" max="16151" width="10" customWidth="1"/>
  </cols>
  <sheetData>
    <row r="1" spans="1:22">
      <c r="B1" s="41" t="s">
        <v>31</v>
      </c>
      <c r="C1" s="41"/>
    </row>
    <row r="2" spans="1:22">
      <c r="B2" s="41" t="s">
        <v>58</v>
      </c>
      <c r="C2" s="41"/>
    </row>
    <row r="3" spans="1:22">
      <c r="B3" s="41" t="s">
        <v>16</v>
      </c>
      <c r="C3" s="41"/>
      <c r="E3" s="2" t="s">
        <v>59</v>
      </c>
      <c r="U3" s="2"/>
      <c r="V3" s="2" t="s">
        <v>92</v>
      </c>
    </row>
    <row r="4" spans="1:22">
      <c r="A4" s="2" t="s">
        <v>11</v>
      </c>
      <c r="B4" s="106"/>
      <c r="C4" s="106"/>
    </row>
    <row r="5" spans="1:22">
      <c r="B5" s="106"/>
      <c r="C5" s="106"/>
    </row>
    <row r="6" spans="1:22">
      <c r="A6" t="s">
        <v>0</v>
      </c>
      <c r="B6" s="46">
        <f>'Disability $ details 05-06'!B6*0.023</f>
        <v>12.42</v>
      </c>
      <c r="C6" s="46"/>
      <c r="D6" s="22" t="s">
        <v>217</v>
      </c>
      <c r="E6" t="s">
        <v>354</v>
      </c>
      <c r="V6" s="38" t="s">
        <v>344</v>
      </c>
    </row>
    <row r="7" spans="1:22">
      <c r="A7" t="s">
        <v>1</v>
      </c>
      <c r="B7" s="46">
        <f>'Disability $ details 05-06'!B7*0.023</f>
        <v>20.125</v>
      </c>
      <c r="C7" s="46"/>
      <c r="D7" s="22" t="s">
        <v>217</v>
      </c>
      <c r="E7" t="s">
        <v>218</v>
      </c>
      <c r="Q7" t="s">
        <v>93</v>
      </c>
    </row>
    <row r="8" spans="1:22">
      <c r="A8" t="s">
        <v>14</v>
      </c>
      <c r="B8" s="46">
        <f>'Disability $ details 05-06'!B8*0.023</f>
        <v>1.9550000000000001</v>
      </c>
      <c r="C8" s="46"/>
      <c r="D8" s="22" t="s">
        <v>217</v>
      </c>
      <c r="E8" t="s">
        <v>449</v>
      </c>
    </row>
    <row r="9" spans="1:22">
      <c r="A9" t="s">
        <v>2</v>
      </c>
      <c r="B9" s="46">
        <f>'Disability $ details 05-06'!B9*0.023</f>
        <v>0.11499999999999999</v>
      </c>
      <c r="C9" s="46"/>
      <c r="D9" s="22" t="s">
        <v>217</v>
      </c>
    </row>
    <row r="10" spans="1:22">
      <c r="A10" t="s">
        <v>68</v>
      </c>
      <c r="B10" s="46">
        <f>'Disability $ details 05-06'!B10*0.023</f>
        <v>0</v>
      </c>
      <c r="C10" s="46"/>
      <c r="D10" s="22" t="s">
        <v>217</v>
      </c>
    </row>
    <row r="11" spans="1:22">
      <c r="A11" t="s">
        <v>3</v>
      </c>
      <c r="B11" s="46">
        <f>'Disability $ details 05-06'!B11*0.023</f>
        <v>2.645</v>
      </c>
      <c r="C11" s="46"/>
      <c r="D11" s="22" t="s">
        <v>217</v>
      </c>
    </row>
    <row r="12" spans="1:22">
      <c r="A12" t="s">
        <v>15</v>
      </c>
      <c r="B12" s="46">
        <f>'Disability $ details 05-06'!B12*0.023</f>
        <v>2.0699999999999998</v>
      </c>
      <c r="C12" s="46"/>
      <c r="D12" s="22" t="s">
        <v>217</v>
      </c>
      <c r="U12" s="7"/>
    </row>
    <row r="13" spans="1:22">
      <c r="A13" s="3" t="s">
        <v>24</v>
      </c>
      <c r="B13" s="104">
        <f>SUM(B6:B12)</f>
        <v>39.330000000000005</v>
      </c>
      <c r="C13" s="104"/>
      <c r="D13" s="22" t="s">
        <v>217</v>
      </c>
      <c r="U13" s="7"/>
    </row>
    <row r="14" spans="1:22">
      <c r="B14" s="46"/>
      <c r="C14" s="46"/>
      <c r="D14" s="22"/>
      <c r="U14" s="7"/>
    </row>
    <row r="15" spans="1:22">
      <c r="A15" s="2" t="s">
        <v>4</v>
      </c>
      <c r="B15" s="46"/>
      <c r="C15" s="46"/>
      <c r="D15" s="22"/>
      <c r="U15" s="7"/>
    </row>
    <row r="16" spans="1:22">
      <c r="A16" t="s">
        <v>5</v>
      </c>
      <c r="B16" s="46">
        <v>138.1</v>
      </c>
      <c r="C16" s="46"/>
      <c r="D16" s="22"/>
      <c r="E16" t="s">
        <v>438</v>
      </c>
      <c r="U16" s="7"/>
      <c r="V16" t="s">
        <v>220</v>
      </c>
    </row>
    <row r="17" spans="1:22">
      <c r="A17" t="s">
        <v>69</v>
      </c>
      <c r="B17" s="105"/>
      <c r="C17" s="105"/>
      <c r="D17" s="22"/>
      <c r="U17" s="7"/>
    </row>
    <row r="18" spans="1:22">
      <c r="A18" t="s">
        <v>6</v>
      </c>
      <c r="B18" s="46">
        <v>41.8</v>
      </c>
      <c r="C18" s="46"/>
      <c r="D18" s="22"/>
      <c r="E18" t="s">
        <v>316</v>
      </c>
      <c r="U18" s="7"/>
      <c r="V18" s="38" t="s">
        <v>72</v>
      </c>
    </row>
    <row r="19" spans="1:22">
      <c r="A19" s="3" t="s">
        <v>24</v>
      </c>
      <c r="B19" s="104">
        <f>SUM(B16:B18)</f>
        <v>179.89999999999998</v>
      </c>
      <c r="C19" s="104"/>
      <c r="D19" s="22"/>
      <c r="U19" s="7"/>
    </row>
    <row r="20" spans="1:22">
      <c r="B20" s="46"/>
      <c r="C20" s="46"/>
      <c r="D20" s="22"/>
      <c r="U20" s="7"/>
    </row>
    <row r="21" spans="1:22">
      <c r="A21" t="s">
        <v>101</v>
      </c>
      <c r="B21" s="46">
        <f>1656*0.055</f>
        <v>91.08</v>
      </c>
      <c r="C21" s="46" t="s">
        <v>437</v>
      </c>
      <c r="D21" s="22"/>
      <c r="E21" t="s">
        <v>333</v>
      </c>
      <c r="U21" s="7"/>
      <c r="V21" t="s">
        <v>102</v>
      </c>
    </row>
    <row r="22" spans="1:22">
      <c r="A22" s="3" t="s">
        <v>221</v>
      </c>
      <c r="B22" s="104">
        <f>SUM(B21)</f>
        <v>91.08</v>
      </c>
      <c r="C22" s="104"/>
      <c r="D22" s="22"/>
      <c r="E22" t="s">
        <v>426</v>
      </c>
      <c r="U22" s="7"/>
      <c r="V22" t="s">
        <v>103</v>
      </c>
    </row>
    <row r="23" spans="1:22">
      <c r="A23" s="258"/>
      <c r="B23" s="104"/>
      <c r="C23" s="104"/>
      <c r="D23" s="247"/>
      <c r="E23" s="39"/>
      <c r="F23" s="39"/>
      <c r="G23" s="39"/>
      <c r="H23" s="39"/>
      <c r="I23" s="39"/>
      <c r="J23" s="39"/>
      <c r="K23" s="39"/>
      <c r="L23" s="39"/>
      <c r="M23" s="39"/>
      <c r="N23" s="39"/>
      <c r="O23" s="39"/>
      <c r="U23" s="7"/>
    </row>
    <row r="24" spans="1:22">
      <c r="A24" s="50" t="s">
        <v>334</v>
      </c>
      <c r="B24" s="46"/>
      <c r="C24" s="46"/>
      <c r="D24" s="247"/>
      <c r="E24" s="39"/>
      <c r="F24" s="39"/>
      <c r="G24" s="39"/>
      <c r="H24" s="39"/>
      <c r="I24" s="39"/>
      <c r="J24" s="39"/>
      <c r="K24" s="39"/>
      <c r="L24" s="39"/>
      <c r="M24" s="39"/>
      <c r="N24" s="39"/>
      <c r="O24" s="39"/>
      <c r="R24" s="9"/>
      <c r="S24" s="9"/>
      <c r="U24" s="7"/>
    </row>
    <row r="25" spans="1:22">
      <c r="A25" s="39" t="s">
        <v>335</v>
      </c>
      <c r="B25" s="46">
        <f>'SA by provi 05-06'!B10</f>
        <v>37.799999999999997</v>
      </c>
      <c r="C25" s="46"/>
      <c r="D25" s="44"/>
      <c r="E25" s="150" t="s">
        <v>481</v>
      </c>
      <c r="F25" s="39"/>
      <c r="G25" s="39"/>
      <c r="H25" s="39"/>
      <c r="I25" s="39"/>
      <c r="J25" s="39"/>
      <c r="K25" s="39"/>
      <c r="L25" s="39"/>
      <c r="M25" s="39"/>
      <c r="N25" s="39"/>
      <c r="O25" s="39"/>
      <c r="U25" s="7"/>
      <c r="V25" s="75" t="s">
        <v>251</v>
      </c>
    </row>
    <row r="26" spans="1:22">
      <c r="A26" s="39" t="s">
        <v>12</v>
      </c>
      <c r="B26" s="46">
        <f>31.7*0.55</f>
        <v>17.435000000000002</v>
      </c>
      <c r="C26" s="46" t="s">
        <v>237</v>
      </c>
      <c r="D26" s="247"/>
      <c r="E26" s="39" t="s">
        <v>656</v>
      </c>
      <c r="F26" s="39"/>
      <c r="G26" s="39"/>
      <c r="H26" s="39"/>
      <c r="I26" s="39"/>
      <c r="J26" s="39"/>
      <c r="K26" s="39"/>
      <c r="L26" s="39"/>
      <c r="M26" s="39"/>
      <c r="N26" s="39"/>
      <c r="O26" s="39"/>
      <c r="U26" s="7"/>
    </row>
    <row r="27" spans="1:22">
      <c r="A27" s="258" t="s">
        <v>24</v>
      </c>
      <c r="B27" s="104">
        <f>SUM(B25:B26)</f>
        <v>55.234999999999999</v>
      </c>
      <c r="C27" s="104" t="s">
        <v>237</v>
      </c>
      <c r="D27" s="247"/>
      <c r="E27" s="39"/>
      <c r="F27" s="39"/>
      <c r="G27" s="39"/>
      <c r="H27" s="39"/>
      <c r="I27" s="39"/>
      <c r="J27" s="39"/>
      <c r="K27" s="39"/>
      <c r="L27" s="39"/>
      <c r="M27" s="39"/>
      <c r="N27" s="39"/>
      <c r="O27" s="39"/>
      <c r="U27" s="7"/>
    </row>
    <row r="28" spans="1:22">
      <c r="A28" s="258"/>
      <c r="B28" s="104"/>
      <c r="C28" s="104"/>
      <c r="D28" s="247"/>
      <c r="E28" s="39"/>
      <c r="F28" s="39"/>
      <c r="G28" s="39"/>
      <c r="H28" s="39"/>
      <c r="I28" s="39"/>
      <c r="J28" s="39"/>
      <c r="K28" s="39"/>
      <c r="L28" s="39"/>
      <c r="M28" s="39"/>
      <c r="N28" s="39"/>
      <c r="O28" s="39"/>
      <c r="U28" s="7"/>
    </row>
    <row r="29" spans="1:22">
      <c r="A29" s="50" t="s">
        <v>13</v>
      </c>
      <c r="B29" s="46"/>
      <c r="C29" s="46"/>
      <c r="D29" s="247"/>
      <c r="E29" s="39"/>
      <c r="F29" s="39"/>
      <c r="G29" s="39"/>
      <c r="H29" s="39"/>
      <c r="I29" s="39"/>
      <c r="J29" s="39"/>
      <c r="K29" s="39"/>
      <c r="L29" s="39"/>
      <c r="M29" s="39"/>
      <c r="N29" s="39"/>
      <c r="O29" s="39"/>
      <c r="U29" s="7"/>
    </row>
    <row r="30" spans="1:22">
      <c r="A30" s="39" t="s">
        <v>7</v>
      </c>
      <c r="B30" s="46">
        <v>69.7</v>
      </c>
      <c r="C30" s="46"/>
      <c r="D30" s="247">
        <v>2005</v>
      </c>
      <c r="E30" s="39" t="s">
        <v>96</v>
      </c>
      <c r="F30" s="39"/>
      <c r="G30" s="39"/>
      <c r="H30" s="39"/>
      <c r="I30" s="39"/>
      <c r="J30" s="39"/>
      <c r="K30" s="39"/>
      <c r="L30" s="39"/>
      <c r="M30" s="39"/>
      <c r="N30" s="39"/>
      <c r="O30" s="39"/>
      <c r="U30" s="7"/>
      <c r="V30" t="s">
        <v>324</v>
      </c>
    </row>
    <row r="31" spans="1:22">
      <c r="A31" s="39" t="s">
        <v>8</v>
      </c>
      <c r="B31" s="46"/>
      <c r="C31" s="46"/>
      <c r="D31" s="247"/>
      <c r="E31" s="39" t="s">
        <v>70</v>
      </c>
      <c r="F31" s="39"/>
      <c r="G31" s="39"/>
      <c r="H31" s="39"/>
      <c r="I31" s="39"/>
      <c r="J31" s="39"/>
      <c r="K31" s="39"/>
      <c r="L31" s="39"/>
      <c r="M31" s="39"/>
      <c r="N31" s="39"/>
      <c r="O31" s="39"/>
      <c r="U31" s="7"/>
    </row>
    <row r="32" spans="1:22">
      <c r="A32" s="258" t="s">
        <v>57</v>
      </c>
      <c r="B32" s="104">
        <f>SUM(B30:B31)</f>
        <v>69.7</v>
      </c>
      <c r="C32" s="104"/>
      <c r="D32" s="247"/>
      <c r="E32" s="39"/>
      <c r="F32" s="39"/>
      <c r="G32" s="39"/>
      <c r="H32" s="39"/>
      <c r="I32" s="39"/>
      <c r="J32" s="39"/>
      <c r="K32" s="39"/>
      <c r="L32" s="39"/>
      <c r="M32" s="39"/>
      <c r="N32" s="39"/>
      <c r="O32" s="39"/>
      <c r="U32" s="7"/>
    </row>
    <row r="33" spans="1:22">
      <c r="A33" s="39" t="s">
        <v>64</v>
      </c>
      <c r="B33" s="46"/>
      <c r="C33" s="46"/>
      <c r="D33" s="247"/>
      <c r="E33" s="39"/>
      <c r="F33" s="39"/>
      <c r="G33" s="39"/>
      <c r="H33" s="39"/>
      <c r="I33" s="39"/>
      <c r="J33" s="39"/>
      <c r="K33" s="39"/>
      <c r="L33" s="39"/>
      <c r="M33" s="39"/>
      <c r="N33" s="39"/>
      <c r="O33" s="39"/>
      <c r="U33" s="7"/>
    </row>
    <row r="34" spans="1:22">
      <c r="A34" s="39" t="s">
        <v>9</v>
      </c>
      <c r="B34" s="46">
        <v>11</v>
      </c>
      <c r="C34" s="46"/>
      <c r="D34" s="247">
        <v>2005</v>
      </c>
      <c r="E34" s="39" t="s">
        <v>61</v>
      </c>
      <c r="F34" s="39"/>
      <c r="G34" s="39"/>
      <c r="H34" s="39"/>
      <c r="I34" s="39"/>
      <c r="J34" s="39"/>
      <c r="K34" s="39"/>
      <c r="L34" s="39"/>
      <c r="M34" s="39"/>
      <c r="N34" s="39"/>
      <c r="O34" s="39"/>
      <c r="U34" s="7"/>
      <c r="V34" t="s">
        <v>75</v>
      </c>
    </row>
    <row r="35" spans="1:22">
      <c r="A35" s="39" t="s">
        <v>10</v>
      </c>
      <c r="B35" s="46">
        <v>68</v>
      </c>
      <c r="C35" s="46"/>
      <c r="D35" s="247"/>
      <c r="E35" s="39"/>
      <c r="F35" s="39"/>
      <c r="G35" s="39"/>
      <c r="H35" s="39"/>
      <c r="I35" s="39"/>
      <c r="J35" s="39"/>
      <c r="K35" s="39"/>
      <c r="L35" s="39"/>
      <c r="M35" s="39"/>
      <c r="N35" s="39"/>
      <c r="O35" s="39"/>
      <c r="U35" s="7"/>
      <c r="V35" t="s">
        <v>429</v>
      </c>
    </row>
    <row r="36" spans="1:22">
      <c r="A36" s="258" t="s">
        <v>24</v>
      </c>
      <c r="B36" s="104">
        <f>SUM(B34:B35)</f>
        <v>79</v>
      </c>
      <c r="C36" s="104"/>
      <c r="D36" s="247"/>
      <c r="E36" s="39"/>
      <c r="F36" s="39"/>
      <c r="G36" s="39"/>
      <c r="H36" s="39"/>
      <c r="I36" s="39"/>
      <c r="J36" s="39"/>
      <c r="K36" s="39"/>
      <c r="L36" s="39"/>
      <c r="M36" s="39"/>
      <c r="N36" s="39"/>
      <c r="O36" s="39"/>
      <c r="U36" s="7"/>
    </row>
    <row r="37" spans="1:22">
      <c r="A37" s="39"/>
      <c r="B37" s="46"/>
      <c r="C37" s="46"/>
      <c r="D37" s="247"/>
      <c r="E37" s="39"/>
      <c r="F37" s="39"/>
      <c r="G37" s="39"/>
      <c r="H37" s="39"/>
      <c r="I37" s="39"/>
      <c r="J37" s="39"/>
      <c r="K37" s="39"/>
      <c r="L37" s="39"/>
      <c r="M37" s="39"/>
      <c r="N37" s="39"/>
      <c r="O37" s="39"/>
    </row>
    <row r="38" spans="1:22" ht="15.75">
      <c r="A38" s="48" t="s">
        <v>23</v>
      </c>
      <c r="B38" s="49">
        <f>SUM(B13+B19+B22+B27+B32+B36)</f>
        <v>514.245</v>
      </c>
      <c r="C38" s="49" t="s">
        <v>237</v>
      </c>
      <c r="D38" s="39"/>
      <c r="E38" s="39"/>
      <c r="F38" s="39"/>
      <c r="G38" s="39"/>
      <c r="H38" s="39"/>
      <c r="I38" s="39"/>
      <c r="J38" s="39"/>
      <c r="K38" s="39"/>
      <c r="L38" s="39"/>
      <c r="M38" s="39"/>
      <c r="N38" s="39"/>
      <c r="O38" s="39"/>
    </row>
    <row r="39" spans="1:22" ht="15.75">
      <c r="A39" s="48"/>
      <c r="B39" s="48"/>
      <c r="C39" s="48"/>
      <c r="D39" s="39"/>
      <c r="E39" s="39"/>
      <c r="F39" s="39"/>
      <c r="G39" s="39"/>
      <c r="H39" s="39"/>
      <c r="I39" s="39"/>
      <c r="J39" s="39"/>
      <c r="K39" s="39"/>
      <c r="L39" s="39"/>
      <c r="M39" s="39"/>
      <c r="N39" s="39"/>
      <c r="O39" s="39"/>
    </row>
    <row r="40" spans="1:22" ht="15.75">
      <c r="A40" s="106" t="s">
        <v>677</v>
      </c>
      <c r="B40" s="48"/>
      <c r="C40" s="48"/>
      <c r="D40" s="39"/>
      <c r="E40" s="39"/>
      <c r="F40" s="39"/>
      <c r="G40" s="39"/>
      <c r="H40" s="39"/>
      <c r="I40" s="39"/>
      <c r="J40" s="39"/>
      <c r="K40" s="39"/>
      <c r="L40" s="39"/>
      <c r="M40" s="39"/>
      <c r="N40" s="39"/>
      <c r="O40" s="39"/>
    </row>
    <row r="41" spans="1:22">
      <c r="B41" s="39"/>
      <c r="C41" s="39"/>
    </row>
    <row r="42" spans="1:22">
      <c r="B42" s="41" t="s">
        <v>31</v>
      </c>
      <c r="C42" s="41"/>
    </row>
    <row r="43" spans="1:22">
      <c r="B43" s="41" t="s">
        <v>181</v>
      </c>
      <c r="C43" s="41"/>
    </row>
    <row r="44" spans="1:22">
      <c r="B44" s="41" t="s">
        <v>16</v>
      </c>
      <c r="C44" s="41"/>
    </row>
    <row r="45" spans="1:22">
      <c r="A45" s="2" t="s">
        <v>11</v>
      </c>
      <c r="B45" s="106"/>
      <c r="C45" s="106"/>
    </row>
    <row r="46" spans="1:22">
      <c r="B46" s="106"/>
      <c r="C46" s="106"/>
    </row>
    <row r="47" spans="1:22">
      <c r="A47" t="s">
        <v>0</v>
      </c>
      <c r="B47" s="46">
        <f>'CAN Disability details 09-10'!B6*0.022</f>
        <v>13.639999999999999</v>
      </c>
      <c r="C47" s="46"/>
      <c r="D47" s="22" t="s">
        <v>217</v>
      </c>
      <c r="E47" t="s">
        <v>354</v>
      </c>
      <c r="V47" s="38" t="s">
        <v>344</v>
      </c>
    </row>
    <row r="48" spans="1:22">
      <c r="A48" t="s">
        <v>1</v>
      </c>
      <c r="B48" s="46">
        <f>'CAN Disability details 09-10'!B7*0.022</f>
        <v>22</v>
      </c>
      <c r="C48" s="46"/>
      <c r="D48" s="22" t="s">
        <v>217</v>
      </c>
      <c r="E48" t="s">
        <v>218</v>
      </c>
    </row>
    <row r="49" spans="1:31">
      <c r="A49" t="s">
        <v>14</v>
      </c>
      <c r="B49" s="46">
        <f>'CAN Disability details 09-10'!B8*0.022</f>
        <v>2.1339999999999999</v>
      </c>
      <c r="C49" s="46"/>
      <c r="D49" s="22" t="s">
        <v>217</v>
      </c>
      <c r="E49" t="s">
        <v>450</v>
      </c>
    </row>
    <row r="50" spans="1:31">
      <c r="A50" t="s">
        <v>2</v>
      </c>
      <c r="B50" s="46">
        <f>'CAN Disability details 09-10'!B9*0.022</f>
        <v>0.10999999999999999</v>
      </c>
      <c r="C50" s="46"/>
      <c r="D50" s="22" t="s">
        <v>217</v>
      </c>
    </row>
    <row r="51" spans="1:31">
      <c r="A51" t="s">
        <v>68</v>
      </c>
      <c r="B51" s="46">
        <f>'CAN Disability details 09-10'!B10*0.022</f>
        <v>0</v>
      </c>
      <c r="C51" s="46"/>
      <c r="D51" s="22" t="s">
        <v>217</v>
      </c>
      <c r="E51" s="7"/>
    </row>
    <row r="52" spans="1:31">
      <c r="A52" t="s">
        <v>3</v>
      </c>
      <c r="B52" s="46">
        <f>'CAN Disability details 09-10'!B11*0.022</f>
        <v>2.86</v>
      </c>
      <c r="C52" s="46"/>
      <c r="D52" s="22" t="s">
        <v>217</v>
      </c>
      <c r="E52" s="7"/>
    </row>
    <row r="53" spans="1:31">
      <c r="A53" t="s">
        <v>15</v>
      </c>
      <c r="B53" s="46">
        <f>'CAN Disability details 09-10'!B12*0.022</f>
        <v>4.3229999999999995</v>
      </c>
      <c r="C53" s="46"/>
      <c r="D53" s="22" t="s">
        <v>217</v>
      </c>
      <c r="E53" s="7"/>
    </row>
    <row r="54" spans="1:31">
      <c r="A54" s="3" t="s">
        <v>24</v>
      </c>
      <c r="B54" s="104">
        <f>SUM(B47:B53)</f>
        <v>45.067</v>
      </c>
      <c r="C54" s="104"/>
      <c r="E54" s="7"/>
    </row>
    <row r="55" spans="1:31">
      <c r="B55" s="46"/>
      <c r="C55" s="46"/>
    </row>
    <row r="56" spans="1:31">
      <c r="A56" s="2" t="s">
        <v>4</v>
      </c>
      <c r="B56" s="46"/>
      <c r="C56" s="46"/>
    </row>
    <row r="57" spans="1:31">
      <c r="A57" t="s">
        <v>5</v>
      </c>
      <c r="B57" s="46">
        <v>152.6</v>
      </c>
      <c r="C57" s="46"/>
      <c r="E57" t="s">
        <v>325</v>
      </c>
    </row>
    <row r="58" spans="1:31">
      <c r="A58" t="s">
        <v>69</v>
      </c>
      <c r="B58" s="105"/>
      <c r="C58" s="105"/>
    </row>
    <row r="59" spans="1:31">
      <c r="A59" t="s">
        <v>6</v>
      </c>
      <c r="B59" s="114">
        <v>60.6</v>
      </c>
      <c r="C59" s="114"/>
      <c r="E59" s="103" t="s">
        <v>394</v>
      </c>
      <c r="F59" s="103"/>
      <c r="G59" s="103"/>
      <c r="H59" s="103"/>
      <c r="I59" s="103"/>
      <c r="J59" s="103"/>
      <c r="K59" s="103"/>
      <c r="L59" s="103"/>
      <c r="M59" s="103"/>
      <c r="N59" s="103"/>
      <c r="O59" s="103"/>
      <c r="P59" s="103"/>
      <c r="Q59" s="103"/>
      <c r="R59" s="103"/>
      <c r="S59" s="103"/>
      <c r="T59" s="103"/>
      <c r="U59" s="111"/>
      <c r="V59" s="110" t="s">
        <v>395</v>
      </c>
      <c r="W59" s="103"/>
      <c r="X59" s="103"/>
      <c r="Y59" s="103"/>
      <c r="Z59" s="103"/>
      <c r="AA59" s="103"/>
      <c r="AB59" s="103"/>
      <c r="AC59" s="103"/>
      <c r="AD59" s="103"/>
      <c r="AE59" s="103"/>
    </row>
    <row r="60" spans="1:31">
      <c r="A60" s="3" t="s">
        <v>24</v>
      </c>
      <c r="B60" s="112">
        <f>SUM(B57:B59)</f>
        <v>213.2</v>
      </c>
      <c r="C60" s="112"/>
    </row>
    <row r="61" spans="1:31">
      <c r="B61" s="46"/>
      <c r="C61" s="46"/>
    </row>
    <row r="62" spans="1:31">
      <c r="A62" t="s">
        <v>478</v>
      </c>
      <c r="B62" s="104">
        <f>'CAN Disability details 09-10'!B22*0.06</f>
        <v>121.812</v>
      </c>
      <c r="C62" s="104" t="s">
        <v>437</v>
      </c>
      <c r="E62" t="s">
        <v>457</v>
      </c>
    </row>
    <row r="63" spans="1:31">
      <c r="A63" s="3"/>
      <c r="B63" s="104"/>
      <c r="C63" s="104"/>
      <c r="E63" t="s">
        <v>467</v>
      </c>
    </row>
    <row r="64" spans="1:31">
      <c r="A64" s="2" t="s">
        <v>334</v>
      </c>
      <c r="B64" s="46"/>
      <c r="C64" s="46"/>
    </row>
    <row r="65" spans="1:22">
      <c r="A65" s="39" t="s">
        <v>335</v>
      </c>
      <c r="B65" s="46">
        <f>'SA $ by prov 09-10'!B10</f>
        <v>42.2</v>
      </c>
      <c r="C65" s="46"/>
      <c r="D65" s="39"/>
      <c r="E65" s="150" t="s">
        <v>482</v>
      </c>
      <c r="F65" s="39"/>
      <c r="G65" s="39"/>
      <c r="H65" s="39"/>
      <c r="I65" s="39"/>
      <c r="J65" s="39"/>
      <c r="K65" s="39"/>
      <c r="L65" s="39"/>
      <c r="M65" s="39"/>
      <c r="N65" s="39"/>
      <c r="O65" s="39"/>
      <c r="V65" t="s">
        <v>187</v>
      </c>
    </row>
    <row r="66" spans="1:22">
      <c r="A66" s="39" t="s">
        <v>12</v>
      </c>
      <c r="B66" s="46">
        <f>37.1*0.55</f>
        <v>20.405000000000001</v>
      </c>
      <c r="C66" s="46" t="s">
        <v>237</v>
      </c>
      <c r="D66" s="39"/>
      <c r="E66" s="39" t="s">
        <v>656</v>
      </c>
      <c r="F66" s="39"/>
      <c r="G66" s="39"/>
      <c r="H66" s="39"/>
      <c r="I66" s="39"/>
      <c r="J66" s="39"/>
      <c r="K66" s="39"/>
      <c r="L66" s="39"/>
      <c r="M66" s="39"/>
      <c r="N66" s="39"/>
      <c r="O66" s="39"/>
    </row>
    <row r="67" spans="1:22">
      <c r="A67" s="258" t="s">
        <v>24</v>
      </c>
      <c r="B67" s="104">
        <f>SUM(B65:B66)</f>
        <v>62.605000000000004</v>
      </c>
      <c r="C67" s="104" t="s">
        <v>237</v>
      </c>
      <c r="D67" s="39"/>
      <c r="E67" s="39"/>
      <c r="F67" s="39"/>
      <c r="G67" s="39"/>
      <c r="H67" s="39"/>
      <c r="I67" s="39"/>
      <c r="J67" s="39"/>
      <c r="K67" s="39"/>
      <c r="L67" s="39"/>
      <c r="M67" s="39"/>
      <c r="N67" s="39"/>
      <c r="O67" s="39"/>
    </row>
    <row r="68" spans="1:22">
      <c r="A68" s="258"/>
      <c r="B68" s="104"/>
      <c r="C68" s="104"/>
      <c r="D68" s="39"/>
      <c r="E68" s="39"/>
      <c r="F68" s="39"/>
      <c r="G68" s="39"/>
      <c r="H68" s="39"/>
      <c r="I68" s="39"/>
      <c r="J68" s="39"/>
      <c r="K68" s="39"/>
      <c r="L68" s="39"/>
      <c r="M68" s="39"/>
      <c r="N68" s="39"/>
      <c r="O68" s="39"/>
    </row>
    <row r="69" spans="1:22">
      <c r="A69" s="50" t="s">
        <v>13</v>
      </c>
      <c r="B69" s="46"/>
      <c r="C69" s="46"/>
      <c r="D69" s="39"/>
      <c r="E69" s="39"/>
      <c r="F69" s="39"/>
      <c r="G69" s="39"/>
      <c r="H69" s="39"/>
      <c r="I69" s="39"/>
      <c r="J69" s="39"/>
      <c r="K69" s="39"/>
      <c r="L69" s="39"/>
      <c r="M69" s="39"/>
      <c r="N69" s="39"/>
      <c r="O69" s="39"/>
    </row>
    <row r="70" spans="1:22">
      <c r="A70" s="39" t="s">
        <v>7</v>
      </c>
      <c r="B70" s="46">
        <v>73.900000000000006</v>
      </c>
      <c r="C70" s="46"/>
      <c r="D70" s="39"/>
      <c r="E70" s="39" t="s">
        <v>215</v>
      </c>
      <c r="F70" s="39"/>
      <c r="G70" s="39"/>
      <c r="H70" s="39"/>
      <c r="I70" s="39"/>
      <c r="J70" s="39"/>
      <c r="K70" s="39"/>
      <c r="L70" s="39"/>
      <c r="M70" s="39"/>
      <c r="N70" s="39"/>
      <c r="O70" s="39"/>
    </row>
    <row r="71" spans="1:22">
      <c r="A71" s="39" t="s">
        <v>8</v>
      </c>
      <c r="B71" s="46"/>
      <c r="C71" s="46"/>
      <c r="D71" s="39"/>
      <c r="E71" s="39" t="s">
        <v>167</v>
      </c>
      <c r="F71" s="39"/>
      <c r="G71" s="39"/>
      <c r="H71" s="39"/>
      <c r="I71" s="39"/>
      <c r="J71" s="39"/>
      <c r="K71" s="39"/>
      <c r="L71" s="39"/>
      <c r="M71" s="39"/>
      <c r="N71" s="39"/>
      <c r="O71" s="39"/>
    </row>
    <row r="72" spans="1:22">
      <c r="A72" s="258" t="s">
        <v>57</v>
      </c>
      <c r="B72" s="104">
        <f>SUM(B70:B71)</f>
        <v>73.900000000000006</v>
      </c>
      <c r="C72" s="104"/>
      <c r="D72" s="39"/>
      <c r="E72" s="39"/>
      <c r="F72" s="39"/>
      <c r="G72" s="39"/>
      <c r="H72" s="39"/>
      <c r="I72" s="39"/>
      <c r="J72" s="39"/>
      <c r="K72" s="39"/>
      <c r="L72" s="39"/>
      <c r="M72" s="39"/>
      <c r="N72" s="39"/>
      <c r="O72" s="39"/>
    </row>
    <row r="73" spans="1:22">
      <c r="A73" s="258"/>
      <c r="B73" s="104"/>
      <c r="C73" s="104"/>
      <c r="D73" s="39"/>
      <c r="E73" s="39"/>
      <c r="F73" s="39"/>
      <c r="G73" s="39"/>
      <c r="H73" s="39"/>
      <c r="I73" s="39"/>
      <c r="J73" s="39"/>
      <c r="K73" s="39"/>
      <c r="L73" s="39"/>
      <c r="M73" s="39"/>
      <c r="N73" s="39"/>
      <c r="O73" s="39"/>
    </row>
    <row r="74" spans="1:22">
      <c r="A74" s="39" t="s">
        <v>64</v>
      </c>
      <c r="B74" s="46"/>
      <c r="C74" s="46"/>
      <c r="D74" s="39"/>
      <c r="E74" s="39"/>
      <c r="F74" s="39"/>
      <c r="G74" s="39"/>
      <c r="H74" s="39"/>
      <c r="I74" s="39"/>
      <c r="J74" s="39"/>
      <c r="K74" s="39"/>
      <c r="L74" s="39"/>
      <c r="M74" s="39"/>
      <c r="N74" s="39"/>
      <c r="O74" s="39"/>
    </row>
    <row r="75" spans="1:22">
      <c r="A75" s="39" t="s">
        <v>9</v>
      </c>
      <c r="B75" s="46">
        <v>19</v>
      </c>
      <c r="C75" s="46"/>
      <c r="D75" s="39"/>
      <c r="E75" s="39" t="s">
        <v>207</v>
      </c>
      <c r="F75" s="39"/>
      <c r="G75" s="39"/>
      <c r="H75" s="39"/>
      <c r="I75" s="39"/>
      <c r="J75" s="39"/>
      <c r="K75" s="39"/>
      <c r="L75" s="39"/>
      <c r="M75" s="39"/>
      <c r="N75" s="39"/>
      <c r="O75" s="39"/>
    </row>
    <row r="76" spans="1:22">
      <c r="A76" s="39" t="s">
        <v>10</v>
      </c>
      <c r="B76" s="46">
        <v>80</v>
      </c>
      <c r="C76" s="46"/>
      <c r="D76" s="39"/>
      <c r="E76" s="39" t="s">
        <v>207</v>
      </c>
      <c r="F76" s="39"/>
      <c r="G76" s="39"/>
      <c r="H76" s="39"/>
      <c r="I76" s="39"/>
      <c r="J76" s="39"/>
      <c r="K76" s="39"/>
      <c r="L76" s="39"/>
      <c r="M76" s="39"/>
      <c r="N76" s="39"/>
      <c r="O76" s="39"/>
    </row>
    <row r="77" spans="1:22">
      <c r="A77" s="258" t="s">
        <v>24</v>
      </c>
      <c r="B77" s="104">
        <f>SUM(B75:B76)</f>
        <v>99</v>
      </c>
      <c r="C77" s="104"/>
      <c r="D77" s="39"/>
      <c r="E77" s="39" t="s">
        <v>429</v>
      </c>
      <c r="F77" s="39"/>
      <c r="G77" s="39"/>
      <c r="H77" s="39"/>
      <c r="I77" s="39"/>
      <c r="J77" s="39"/>
      <c r="K77" s="39"/>
      <c r="L77" s="39"/>
      <c r="M77" s="39"/>
      <c r="N77" s="39"/>
      <c r="O77" s="39"/>
    </row>
    <row r="78" spans="1:22">
      <c r="A78" s="39"/>
      <c r="B78" s="46"/>
      <c r="C78" s="46"/>
      <c r="D78" s="39"/>
      <c r="E78" s="39"/>
      <c r="F78" s="39"/>
      <c r="G78" s="39"/>
      <c r="H78" s="39"/>
      <c r="I78" s="39"/>
      <c r="J78" s="39"/>
      <c r="K78" s="39"/>
      <c r="L78" s="39"/>
      <c r="M78" s="39"/>
      <c r="N78" s="39"/>
      <c r="O78" s="39"/>
    </row>
    <row r="79" spans="1:22" ht="15.75">
      <c r="A79" s="48" t="s">
        <v>23</v>
      </c>
      <c r="B79" s="49">
        <f>SUM(B54+B60+B62+B66+B65+B72+B77)</f>
        <v>615.58400000000006</v>
      </c>
      <c r="C79" s="49" t="s">
        <v>237</v>
      </c>
      <c r="D79" s="39"/>
      <c r="E79" s="39"/>
      <c r="F79" s="39"/>
      <c r="G79" s="39"/>
      <c r="H79" s="39"/>
      <c r="I79" s="39"/>
      <c r="J79" s="39"/>
      <c r="K79" s="39"/>
      <c r="L79" s="39"/>
      <c r="M79" s="39"/>
      <c r="N79" s="39"/>
      <c r="O79" s="39"/>
    </row>
    <row r="80" spans="1:22" ht="15.75">
      <c r="A80" s="48"/>
      <c r="B80" s="49"/>
      <c r="C80" s="49"/>
      <c r="D80" s="39"/>
      <c r="E80" s="39"/>
      <c r="F80" s="39"/>
      <c r="G80" s="39"/>
      <c r="H80" s="39"/>
      <c r="I80" s="39"/>
      <c r="J80" s="39"/>
      <c r="K80" s="39"/>
      <c r="L80" s="39"/>
      <c r="M80" s="39"/>
      <c r="N80" s="39"/>
      <c r="O80" s="39"/>
    </row>
    <row r="81" spans="1:21" ht="15.75">
      <c r="A81" s="106" t="s">
        <v>677</v>
      </c>
      <c r="B81" s="49"/>
      <c r="C81" s="49"/>
      <c r="D81" s="39"/>
      <c r="E81" s="39"/>
      <c r="F81" s="39"/>
      <c r="G81" s="39"/>
      <c r="H81" s="39"/>
      <c r="I81" s="39"/>
      <c r="J81" s="39"/>
      <c r="K81" s="39"/>
      <c r="L81" s="39"/>
      <c r="M81" s="39"/>
      <c r="N81" s="39"/>
      <c r="O81" s="39"/>
    </row>
    <row r="83" spans="1:21">
      <c r="B83" s="41" t="s">
        <v>31</v>
      </c>
      <c r="C83" s="41"/>
    </row>
    <row r="84" spans="1:21">
      <c r="B84" s="41" t="s">
        <v>514</v>
      </c>
      <c r="C84" s="41"/>
    </row>
    <row r="85" spans="1:21">
      <c r="B85" s="41" t="s">
        <v>16</v>
      </c>
      <c r="C85" s="41"/>
    </row>
    <row r="86" spans="1:21">
      <c r="A86" s="2" t="s">
        <v>11</v>
      </c>
      <c r="B86" s="106"/>
      <c r="C86" s="106"/>
    </row>
    <row r="87" spans="1:21">
      <c r="B87" s="106"/>
      <c r="C87" s="106"/>
    </row>
    <row r="88" spans="1:21">
      <c r="A88" t="s">
        <v>0</v>
      </c>
      <c r="B88" s="143">
        <f>'CAN Disability details 10-11'!B6*0.022</f>
        <v>14.299999999999999</v>
      </c>
      <c r="C88" s="46"/>
      <c r="D88" s="22" t="s">
        <v>217</v>
      </c>
      <c r="E88" s="52" t="s">
        <v>811</v>
      </c>
      <c r="R88" s="145"/>
      <c r="S88" s="145"/>
      <c r="T88" s="145"/>
      <c r="U88" s="145" t="s">
        <v>810</v>
      </c>
    </row>
    <row r="89" spans="1:21">
      <c r="A89" t="s">
        <v>1</v>
      </c>
      <c r="B89" s="143">
        <f>'CAN Disability details 10-11'!B7*0.022</f>
        <v>23.759999999999998</v>
      </c>
      <c r="C89" s="46"/>
      <c r="D89" s="22" t="s">
        <v>217</v>
      </c>
      <c r="E89" s="52" t="s">
        <v>757</v>
      </c>
      <c r="I89" t="s">
        <v>93</v>
      </c>
      <c r="R89" s="39"/>
      <c r="S89" s="39"/>
      <c r="T89" s="39"/>
      <c r="U89" s="39" t="s">
        <v>752</v>
      </c>
    </row>
    <row r="90" spans="1:21">
      <c r="A90" t="s">
        <v>14</v>
      </c>
      <c r="B90" s="46">
        <f>'CAN Disability details 10-11'!B8*0.022</f>
        <v>2.1999999999999997</v>
      </c>
      <c r="C90" s="46"/>
      <c r="D90" s="22" t="s">
        <v>217</v>
      </c>
      <c r="E90" t="s">
        <v>450</v>
      </c>
    </row>
    <row r="91" spans="1:21">
      <c r="A91" t="s">
        <v>2</v>
      </c>
      <c r="B91" s="46">
        <f>'CAN Disability details 10-11'!B9*0.022</f>
        <v>0.10999999999999999</v>
      </c>
      <c r="C91" s="46"/>
      <c r="D91" s="22" t="s">
        <v>217</v>
      </c>
    </row>
    <row r="92" spans="1:21">
      <c r="A92" t="s">
        <v>68</v>
      </c>
      <c r="B92" s="46">
        <f>'CAN Disability details 10-11'!B10*0.022</f>
        <v>0</v>
      </c>
      <c r="C92" s="46"/>
      <c r="D92" s="22" t="s">
        <v>217</v>
      </c>
      <c r="E92" s="7"/>
    </row>
    <row r="93" spans="1:21">
      <c r="A93" t="s">
        <v>3</v>
      </c>
      <c r="B93" s="46">
        <f>'CAN Disability details 10-11'!B11*0.022</f>
        <v>2.9699999999999998</v>
      </c>
      <c r="C93" s="46"/>
      <c r="D93" s="22" t="s">
        <v>217</v>
      </c>
      <c r="E93" s="7"/>
    </row>
    <row r="94" spans="1:21">
      <c r="A94" t="s">
        <v>15</v>
      </c>
      <c r="B94" s="46">
        <f>'CAN Disability details 10-11'!B12*0.022</f>
        <v>4.8487999999999998</v>
      </c>
      <c r="C94" s="46"/>
      <c r="D94" s="22" t="s">
        <v>217</v>
      </c>
      <c r="E94" s="248" t="s">
        <v>812</v>
      </c>
      <c r="U94" s="38"/>
    </row>
    <row r="95" spans="1:21">
      <c r="A95" s="3" t="s">
        <v>24</v>
      </c>
      <c r="B95" s="138">
        <f>SUM(B88:B94)</f>
        <v>48.188799999999993</v>
      </c>
      <c r="C95" s="104"/>
      <c r="E95" s="7"/>
    </row>
    <row r="96" spans="1:21">
      <c r="B96" s="46"/>
      <c r="C96" s="46"/>
    </row>
    <row r="97" spans="1:21">
      <c r="A97" s="2" t="s">
        <v>4</v>
      </c>
      <c r="B97" s="46"/>
      <c r="C97" s="46"/>
    </row>
    <row r="98" spans="1:21">
      <c r="A98" t="s">
        <v>5</v>
      </c>
      <c r="B98" s="46">
        <f>157.9</f>
        <v>157.9</v>
      </c>
      <c r="C98" s="46"/>
      <c r="E98" t="s">
        <v>325</v>
      </c>
      <c r="U98" t="s">
        <v>366</v>
      </c>
    </row>
    <row r="99" spans="1:21">
      <c r="A99" t="s">
        <v>69</v>
      </c>
      <c r="B99" s="105"/>
      <c r="C99" s="105"/>
    </row>
    <row r="100" spans="1:21">
      <c r="A100" t="s">
        <v>6</v>
      </c>
      <c r="B100" s="114">
        <v>61.2</v>
      </c>
      <c r="C100" s="114"/>
      <c r="E100" s="103" t="s">
        <v>394</v>
      </c>
      <c r="F100" s="103"/>
      <c r="G100" s="103"/>
      <c r="H100" s="103"/>
      <c r="I100" s="103"/>
      <c r="J100" s="103"/>
      <c r="K100" s="103"/>
      <c r="L100" s="103"/>
      <c r="M100" s="103"/>
      <c r="N100" s="103"/>
      <c r="O100" s="103"/>
      <c r="P100" s="103"/>
      <c r="Q100" s="103"/>
      <c r="R100" s="103"/>
      <c r="S100" s="103"/>
      <c r="T100" s="111"/>
      <c r="U100" s="110" t="s">
        <v>395</v>
      </c>
    </row>
    <row r="101" spans="1:21">
      <c r="A101" s="3" t="s">
        <v>24</v>
      </c>
      <c r="B101" s="112">
        <f>SUM(B98:B100)</f>
        <v>219.10000000000002</v>
      </c>
      <c r="C101" s="112"/>
    </row>
    <row r="102" spans="1:21">
      <c r="B102" s="46"/>
      <c r="C102" s="46"/>
    </row>
    <row r="103" spans="1:21">
      <c r="A103" t="s">
        <v>478</v>
      </c>
      <c r="B103" s="138">
        <f>98.8+39.1</f>
        <v>137.9</v>
      </c>
      <c r="C103" s="138" t="s">
        <v>237</v>
      </c>
      <c r="E103" t="s">
        <v>98</v>
      </c>
      <c r="U103" t="s">
        <v>754</v>
      </c>
    </row>
    <row r="104" spans="1:21">
      <c r="A104" s="3"/>
      <c r="B104" s="104"/>
      <c r="C104" s="104"/>
    </row>
    <row r="105" spans="1:21">
      <c r="A105" s="2" t="s">
        <v>334</v>
      </c>
      <c r="B105" s="46"/>
      <c r="C105" s="46"/>
    </row>
    <row r="106" spans="1:21">
      <c r="A106" s="103" t="s">
        <v>335</v>
      </c>
      <c r="B106" s="46">
        <f>'SA $ by prov 10-11'!B9</f>
        <v>42.3</v>
      </c>
      <c r="C106" s="46"/>
      <c r="E106" s="150" t="s">
        <v>575</v>
      </c>
      <c r="U106" s="38" t="s">
        <v>528</v>
      </c>
    </row>
    <row r="107" spans="1:21">
      <c r="A107" s="103" t="s">
        <v>12</v>
      </c>
      <c r="B107" s="143">
        <f>(72.6*0.52)*0.55</f>
        <v>20.7636</v>
      </c>
      <c r="C107" s="143" t="s">
        <v>237</v>
      </c>
      <c r="E107" s="218" t="s">
        <v>797</v>
      </c>
      <c r="U107" s="52" t="s">
        <v>792</v>
      </c>
    </row>
    <row r="108" spans="1:21">
      <c r="A108" s="115" t="s">
        <v>24</v>
      </c>
      <c r="B108" s="138">
        <f>SUM(B106:B107)</f>
        <v>63.063599999999994</v>
      </c>
      <c r="C108" s="138" t="s">
        <v>237</v>
      </c>
    </row>
    <row r="109" spans="1:21">
      <c r="A109" s="3"/>
      <c r="B109" s="104"/>
      <c r="C109" s="104"/>
    </row>
    <row r="110" spans="1:21">
      <c r="A110" s="2" t="s">
        <v>13</v>
      </c>
      <c r="B110" s="46"/>
      <c r="C110" s="46"/>
    </row>
    <row r="111" spans="1:21">
      <c r="A111" t="s">
        <v>7</v>
      </c>
      <c r="B111" s="46">
        <v>73</v>
      </c>
      <c r="C111" s="46"/>
      <c r="E111" t="s">
        <v>547</v>
      </c>
      <c r="U111" t="s">
        <v>205</v>
      </c>
    </row>
    <row r="112" spans="1:21">
      <c r="A112" t="s">
        <v>8</v>
      </c>
      <c r="B112" s="46"/>
      <c r="C112" s="46"/>
      <c r="E112" t="s">
        <v>167</v>
      </c>
    </row>
    <row r="113" spans="1:21">
      <c r="A113" s="3" t="s">
        <v>57</v>
      </c>
      <c r="B113" s="104">
        <f>SUM(B111:B112)</f>
        <v>73</v>
      </c>
      <c r="C113" s="104"/>
    </row>
    <row r="114" spans="1:21">
      <c r="A114" s="3"/>
      <c r="B114" s="104"/>
      <c r="C114" s="104"/>
    </row>
    <row r="115" spans="1:21">
      <c r="A115" t="s">
        <v>64</v>
      </c>
      <c r="B115" s="46"/>
      <c r="C115" s="46"/>
    </row>
    <row r="116" spans="1:21">
      <c r="A116" t="s">
        <v>9</v>
      </c>
      <c r="B116" s="46">
        <v>19</v>
      </c>
      <c r="C116" s="46"/>
      <c r="E116" t="s">
        <v>548</v>
      </c>
      <c r="U116" t="s">
        <v>75</v>
      </c>
    </row>
    <row r="117" spans="1:21">
      <c r="A117" t="s">
        <v>10</v>
      </c>
      <c r="B117" s="46">
        <v>85</v>
      </c>
      <c r="C117" s="46"/>
      <c r="E117" t="s">
        <v>548</v>
      </c>
    </row>
    <row r="118" spans="1:21">
      <c r="A118" s="3" t="s">
        <v>24</v>
      </c>
      <c r="B118" s="104">
        <f>SUM(B116:B117)</f>
        <v>104</v>
      </c>
      <c r="C118" s="104"/>
      <c r="E118" t="s">
        <v>429</v>
      </c>
    </row>
    <row r="119" spans="1:21">
      <c r="B119" s="46"/>
      <c r="C119" s="46"/>
    </row>
    <row r="120" spans="1:21" ht="15.75">
      <c r="A120" s="4" t="s">
        <v>23</v>
      </c>
      <c r="B120" s="139">
        <f>SUM(B95+B101+B103+B107+B106+B113+B118)</f>
        <v>645.25240000000008</v>
      </c>
      <c r="C120" s="139" t="s">
        <v>237</v>
      </c>
    </row>
    <row r="123" spans="1:21">
      <c r="B123" s="41" t="s">
        <v>31</v>
      </c>
      <c r="C123" s="41"/>
    </row>
    <row r="124" spans="1:21">
      <c r="B124" s="41" t="s">
        <v>689</v>
      </c>
      <c r="C124" s="41"/>
    </row>
    <row r="125" spans="1:21">
      <c r="B125" s="41" t="s">
        <v>16</v>
      </c>
      <c r="C125" s="41"/>
    </row>
    <row r="126" spans="1:21">
      <c r="A126" s="2" t="s">
        <v>11</v>
      </c>
      <c r="B126" s="106"/>
      <c r="C126" s="106"/>
    </row>
    <row r="127" spans="1:21">
      <c r="B127" s="106"/>
      <c r="C127" s="106"/>
    </row>
    <row r="128" spans="1:21">
      <c r="A128" t="s">
        <v>0</v>
      </c>
      <c r="B128" s="143">
        <f>'CAN Disability details 11-12'!B6*0.022</f>
        <v>14.85</v>
      </c>
      <c r="C128" s="46"/>
      <c r="D128" s="257" t="s">
        <v>217</v>
      </c>
      <c r="E128" s="52" t="s">
        <v>811</v>
      </c>
      <c r="R128" s="145"/>
      <c r="S128" s="145"/>
      <c r="T128" s="145"/>
      <c r="U128" s="145" t="s">
        <v>810</v>
      </c>
    </row>
    <row r="129" spans="1:21">
      <c r="A129" t="s">
        <v>1</v>
      </c>
      <c r="B129" s="143">
        <f>'CAN Disability details 11-12'!B7*0.022</f>
        <v>24.97</v>
      </c>
      <c r="C129" s="46"/>
      <c r="D129" s="257" t="s">
        <v>217</v>
      </c>
      <c r="E129" s="52" t="s">
        <v>757</v>
      </c>
      <c r="I129" t="s">
        <v>93</v>
      </c>
      <c r="R129" s="39"/>
      <c r="S129" s="39"/>
      <c r="T129" s="39"/>
      <c r="U129" s="39" t="s">
        <v>752</v>
      </c>
    </row>
    <row r="130" spans="1:21">
      <c r="A130" t="s">
        <v>14</v>
      </c>
      <c r="B130" s="46">
        <f>'CAN Disability details 11-12'!B8*0.022</f>
        <v>2.31</v>
      </c>
      <c r="C130" s="46"/>
      <c r="D130" s="257" t="s">
        <v>217</v>
      </c>
      <c r="E130" s="52" t="s">
        <v>764</v>
      </c>
      <c r="R130" s="39"/>
      <c r="S130" s="39"/>
      <c r="T130" s="39"/>
      <c r="U130" s="39"/>
    </row>
    <row r="131" spans="1:21">
      <c r="A131" t="s">
        <v>2</v>
      </c>
      <c r="B131" s="46">
        <f>'CAN Disability details 11-12'!B9*0.022</f>
        <v>0.10999999999999999</v>
      </c>
      <c r="C131" s="46"/>
      <c r="D131" s="257" t="s">
        <v>217</v>
      </c>
      <c r="R131" s="39"/>
      <c r="S131" s="39"/>
      <c r="T131" s="39"/>
      <c r="U131" s="39"/>
    </row>
    <row r="132" spans="1:21">
      <c r="A132" t="s">
        <v>68</v>
      </c>
      <c r="B132" s="46">
        <f>'CAN Disability details 11-12'!B10*0.022</f>
        <v>0</v>
      </c>
      <c r="C132" s="46"/>
      <c r="D132" s="257" t="s">
        <v>217</v>
      </c>
      <c r="R132" s="39"/>
      <c r="S132" s="39"/>
      <c r="T132" s="39"/>
      <c r="U132" s="39"/>
    </row>
    <row r="133" spans="1:21">
      <c r="A133" t="s">
        <v>3</v>
      </c>
      <c r="B133" s="143">
        <f>'CAN Disability details 11-12'!B11*0.022</f>
        <v>2.9699999999999998</v>
      </c>
      <c r="C133" s="46"/>
      <c r="D133" s="257" t="s">
        <v>217</v>
      </c>
      <c r="R133" s="39"/>
      <c r="S133" s="39"/>
      <c r="T133" s="39"/>
      <c r="U133" s="39"/>
    </row>
    <row r="134" spans="1:21">
      <c r="A134" t="s">
        <v>15</v>
      </c>
      <c r="B134" s="143">
        <f>'CAN Disability details 11-12'!B12*0.022</f>
        <v>5.5761199999999995</v>
      </c>
      <c r="C134" s="46"/>
      <c r="D134" s="257" t="s">
        <v>217</v>
      </c>
      <c r="E134" s="248" t="s">
        <v>812</v>
      </c>
      <c r="F134" s="249"/>
      <c r="G134" s="249"/>
      <c r="H134" s="249"/>
      <c r="I134" s="30"/>
      <c r="J134" s="30"/>
      <c r="K134" s="30"/>
      <c r="L134" s="30"/>
      <c r="M134" s="30"/>
      <c r="N134" s="30"/>
      <c r="O134" s="30"/>
      <c r="P134" s="30"/>
      <c r="Q134" s="171"/>
      <c r="R134" s="145"/>
      <c r="S134" s="145"/>
      <c r="T134" s="145"/>
      <c r="U134" s="145"/>
    </row>
    <row r="135" spans="1:21">
      <c r="A135" s="3" t="s">
        <v>24</v>
      </c>
      <c r="B135" s="138">
        <f>SUM(B128:B134)</f>
        <v>50.786119999999997</v>
      </c>
      <c r="C135" s="104"/>
      <c r="E135" s="6"/>
      <c r="Q135" s="111"/>
      <c r="R135" s="39"/>
      <c r="S135" s="39"/>
      <c r="T135" s="39"/>
      <c r="U135" s="39"/>
    </row>
    <row r="136" spans="1:21">
      <c r="B136" s="46"/>
      <c r="C136" s="46"/>
      <c r="Q136" s="29"/>
      <c r="R136" s="39"/>
      <c r="S136" s="39"/>
      <c r="T136" s="39"/>
      <c r="U136" s="39"/>
    </row>
    <row r="137" spans="1:21">
      <c r="A137" s="2" t="s">
        <v>4</v>
      </c>
      <c r="B137" s="46"/>
      <c r="C137" s="46"/>
      <c r="Q137" s="29"/>
      <c r="R137" s="39"/>
      <c r="S137" s="39"/>
      <c r="T137" s="39"/>
      <c r="U137" s="39"/>
    </row>
    <row r="138" spans="1:21">
      <c r="A138" t="s">
        <v>5</v>
      </c>
      <c r="B138" s="46">
        <v>165.3</v>
      </c>
      <c r="C138" s="46"/>
      <c r="E138" s="52" t="s">
        <v>747</v>
      </c>
      <c r="F138" s="30"/>
      <c r="G138" s="30"/>
      <c r="H138" s="30"/>
      <c r="I138" s="30"/>
      <c r="J138" s="30"/>
      <c r="K138" s="30"/>
      <c r="L138" s="30"/>
      <c r="M138" s="30"/>
      <c r="N138" s="30"/>
      <c r="O138" s="30"/>
      <c r="P138" s="30"/>
      <c r="Q138" s="172"/>
      <c r="R138" s="39"/>
      <c r="S138" s="39"/>
      <c r="T138" s="39"/>
      <c r="U138" s="39" t="s">
        <v>693</v>
      </c>
    </row>
    <row r="139" spans="1:21">
      <c r="A139" t="s">
        <v>69</v>
      </c>
      <c r="B139" s="105"/>
      <c r="C139" s="105"/>
      <c r="E139" s="321" t="s">
        <v>748</v>
      </c>
      <c r="F139" s="321"/>
      <c r="G139" s="321"/>
      <c r="H139" s="321"/>
      <c r="I139" s="321"/>
      <c r="J139" s="321"/>
      <c r="K139" s="321"/>
      <c r="L139" s="321"/>
      <c r="M139" s="321"/>
      <c r="N139" s="321"/>
      <c r="O139" s="321"/>
      <c r="P139" s="321"/>
      <c r="Q139" s="172"/>
      <c r="R139" s="39"/>
      <c r="S139" s="39"/>
      <c r="T139" s="39"/>
      <c r="U139" s="39" t="s">
        <v>693</v>
      </c>
    </row>
    <row r="140" spans="1:21">
      <c r="A140" t="s">
        <v>6</v>
      </c>
      <c r="B140" s="114">
        <v>66.599999999999994</v>
      </c>
      <c r="C140" s="114"/>
      <c r="E140" s="120" t="s">
        <v>694</v>
      </c>
      <c r="F140" s="103"/>
      <c r="G140" s="103"/>
      <c r="H140" s="103"/>
      <c r="I140" s="103"/>
      <c r="J140" s="103"/>
      <c r="K140" s="103"/>
      <c r="L140" s="103"/>
      <c r="M140" s="103"/>
      <c r="N140" s="103"/>
      <c r="O140" s="103"/>
      <c r="P140" s="103"/>
      <c r="Q140" s="111"/>
      <c r="R140" s="145"/>
      <c r="S140" s="145"/>
      <c r="T140" s="145"/>
      <c r="U140" s="145" t="s">
        <v>519</v>
      </c>
    </row>
    <row r="141" spans="1:21">
      <c r="A141" s="3" t="s">
        <v>24</v>
      </c>
      <c r="B141" s="112">
        <f>SUM(B138:B140)</f>
        <v>231.9</v>
      </c>
      <c r="C141" s="112"/>
    </row>
    <row r="142" spans="1:21">
      <c r="B142" s="46"/>
      <c r="C142" s="46"/>
    </row>
    <row r="143" spans="1:21">
      <c r="A143" t="s">
        <v>478</v>
      </c>
      <c r="B143" s="104">
        <f>99+36.4</f>
        <v>135.4</v>
      </c>
      <c r="C143" s="104"/>
      <c r="E143" t="s">
        <v>98</v>
      </c>
      <c r="U143" t="s">
        <v>754</v>
      </c>
    </row>
    <row r="144" spans="1:21">
      <c r="A144" s="3"/>
      <c r="B144" s="104"/>
      <c r="C144" s="104"/>
    </row>
    <row r="145" spans="1:21">
      <c r="A145" s="2" t="s">
        <v>334</v>
      </c>
      <c r="B145" s="46"/>
      <c r="C145" s="46"/>
    </row>
    <row r="146" spans="1:21">
      <c r="A146" s="103" t="s">
        <v>335</v>
      </c>
      <c r="B146" s="46">
        <f>'SA $ by prov 11-12'!B9</f>
        <v>42.9</v>
      </c>
      <c r="C146" s="46"/>
      <c r="E146" s="262" t="s">
        <v>697</v>
      </c>
      <c r="U146" s="38" t="s">
        <v>726</v>
      </c>
    </row>
    <row r="147" spans="1:21">
      <c r="A147" s="103" t="s">
        <v>12</v>
      </c>
      <c r="B147" s="46">
        <f>(72*0.52)*0.55</f>
        <v>20.591999999999999</v>
      </c>
      <c r="C147" s="46" t="s">
        <v>437</v>
      </c>
      <c r="E147" s="218" t="s">
        <v>797</v>
      </c>
      <c r="U147" s="52" t="s">
        <v>792</v>
      </c>
    </row>
    <row r="148" spans="1:21">
      <c r="A148" s="115" t="s">
        <v>24</v>
      </c>
      <c r="B148" s="104">
        <f>SUM(B146:B147)</f>
        <v>63.491999999999997</v>
      </c>
      <c r="C148" s="104" t="s">
        <v>437</v>
      </c>
    </row>
    <row r="149" spans="1:21">
      <c r="A149" s="3"/>
      <c r="B149" s="104"/>
      <c r="C149" s="104"/>
    </row>
    <row r="150" spans="1:21">
      <c r="A150" s="2" t="s">
        <v>13</v>
      </c>
      <c r="B150" s="46"/>
      <c r="C150" s="46"/>
    </row>
    <row r="151" spans="1:21">
      <c r="A151" t="s">
        <v>7</v>
      </c>
      <c r="B151" s="46">
        <v>73.400000000000006</v>
      </c>
      <c r="C151" s="46"/>
      <c r="E151" t="s">
        <v>547</v>
      </c>
      <c r="U151" s="145" t="s">
        <v>205</v>
      </c>
    </row>
    <row r="152" spans="1:21">
      <c r="A152" t="s">
        <v>8</v>
      </c>
      <c r="B152" s="46"/>
      <c r="C152" s="46"/>
      <c r="E152" t="s">
        <v>167</v>
      </c>
      <c r="U152" s="39" t="s">
        <v>206</v>
      </c>
    </row>
    <row r="153" spans="1:21">
      <c r="A153" s="3" t="s">
        <v>57</v>
      </c>
      <c r="B153" s="104">
        <f>SUM(B151:B152)</f>
        <v>73.400000000000006</v>
      </c>
      <c r="C153" s="104"/>
    </row>
    <row r="154" spans="1:21">
      <c r="A154" s="3"/>
      <c r="B154" s="104"/>
      <c r="C154" s="104"/>
    </row>
    <row r="155" spans="1:21">
      <c r="A155" t="s">
        <v>64</v>
      </c>
      <c r="B155" s="46"/>
      <c r="C155" s="46"/>
    </row>
    <row r="156" spans="1:21">
      <c r="A156" t="s">
        <v>9</v>
      </c>
      <c r="B156" s="46">
        <v>20</v>
      </c>
      <c r="C156" s="46"/>
      <c r="E156" t="s">
        <v>548</v>
      </c>
      <c r="U156" s="52" t="s">
        <v>762</v>
      </c>
    </row>
    <row r="157" spans="1:21">
      <c r="A157" t="s">
        <v>10</v>
      </c>
      <c r="B157" s="46">
        <v>89</v>
      </c>
      <c r="C157" s="46"/>
      <c r="E157" t="s">
        <v>548</v>
      </c>
      <c r="U157" t="s">
        <v>692</v>
      </c>
    </row>
    <row r="158" spans="1:21">
      <c r="A158" s="3" t="s">
        <v>24</v>
      </c>
      <c r="B158" s="104">
        <f>SUM(B156:B157)</f>
        <v>109</v>
      </c>
      <c r="C158" s="104"/>
      <c r="E158" t="s">
        <v>429</v>
      </c>
    </row>
    <row r="159" spans="1:21">
      <c r="B159" s="46"/>
      <c r="C159" s="46"/>
    </row>
    <row r="160" spans="1:21" ht="15.75">
      <c r="A160" s="4" t="s">
        <v>23</v>
      </c>
      <c r="B160" s="28">
        <f>SUM(B135+B141+B143+B147+B146+B153+B158)</f>
        <v>663.97811999999999</v>
      </c>
      <c r="C160" s="49"/>
    </row>
    <row r="163" spans="1:16">
      <c r="B163" s="41" t="s">
        <v>31</v>
      </c>
      <c r="C163" s="41"/>
    </row>
    <row r="164" spans="1:16">
      <c r="B164" s="41" t="s">
        <v>823</v>
      </c>
      <c r="C164" s="41"/>
    </row>
    <row r="165" spans="1:16">
      <c r="B165" s="41" t="s">
        <v>16</v>
      </c>
      <c r="C165" s="41"/>
    </row>
    <row r="166" spans="1:16">
      <c r="A166" s="2" t="s">
        <v>11</v>
      </c>
      <c r="B166" s="106"/>
      <c r="C166" s="106"/>
    </row>
    <row r="167" spans="1:16">
      <c r="B167" s="106"/>
      <c r="C167" s="106"/>
    </row>
    <row r="168" spans="1:16">
      <c r="A168" t="s">
        <v>0</v>
      </c>
      <c r="B168" s="46">
        <f>'CAN Disability details 12-13'!B6*0.022</f>
        <v>15.18</v>
      </c>
      <c r="C168" s="46"/>
      <c r="D168" s="302" t="s">
        <v>217</v>
      </c>
      <c r="E168" s="52" t="s">
        <v>811</v>
      </c>
    </row>
    <row r="169" spans="1:16">
      <c r="A169" t="s">
        <v>1</v>
      </c>
      <c r="B169" s="46">
        <f>'CAN Disability details 12-13'!B7*0.022</f>
        <v>26.4</v>
      </c>
      <c r="C169" s="46"/>
      <c r="D169" s="302" t="s">
        <v>217</v>
      </c>
      <c r="E169" s="52" t="s">
        <v>757</v>
      </c>
      <c r="I169" t="s">
        <v>93</v>
      </c>
    </row>
    <row r="170" spans="1:16">
      <c r="A170" t="s">
        <v>14</v>
      </c>
      <c r="B170" s="46">
        <f>'CAN Disability details 12-13'!B8*0.022</f>
        <v>2.31</v>
      </c>
      <c r="C170" s="46"/>
      <c r="D170" s="302" t="s">
        <v>217</v>
      </c>
      <c r="E170" s="52" t="s">
        <v>764</v>
      </c>
    </row>
    <row r="171" spans="1:16">
      <c r="A171" t="s">
        <v>2</v>
      </c>
      <c r="B171" s="46">
        <f>'CAN Disability details 12-13'!B9*0.022</f>
        <v>0.10999999999999999</v>
      </c>
      <c r="C171" s="46"/>
      <c r="D171" s="302" t="s">
        <v>217</v>
      </c>
    </row>
    <row r="172" spans="1:16">
      <c r="A172" t="s">
        <v>68</v>
      </c>
      <c r="B172" s="46">
        <f>'CAN Disability details 12-13'!B10*0.022</f>
        <v>0</v>
      </c>
      <c r="C172" s="46"/>
      <c r="D172" s="302" t="s">
        <v>217</v>
      </c>
    </row>
    <row r="173" spans="1:16">
      <c r="A173" t="s">
        <v>3</v>
      </c>
      <c r="B173" s="46">
        <f>'CAN Disability details 12-13'!B11*0.022</f>
        <v>3.0799999999999996</v>
      </c>
      <c r="C173" s="46"/>
      <c r="D173" s="302" t="s">
        <v>217</v>
      </c>
    </row>
    <row r="174" spans="1:16">
      <c r="A174" t="s">
        <v>15</v>
      </c>
      <c r="B174" s="46">
        <f>'CAN Disability details 12-13'!B12*0.022</f>
        <v>5.8185599999999997</v>
      </c>
      <c r="C174" s="46"/>
      <c r="D174" s="302" t="s">
        <v>217</v>
      </c>
      <c r="E174" s="248" t="s">
        <v>901</v>
      </c>
      <c r="F174" s="249"/>
      <c r="G174" s="249"/>
      <c r="H174" s="249"/>
      <c r="I174" s="30"/>
      <c r="J174" s="30"/>
      <c r="K174" s="30"/>
      <c r="L174" s="30"/>
      <c r="M174" s="30"/>
      <c r="N174" s="30"/>
      <c r="O174" s="30"/>
      <c r="P174" s="30"/>
    </row>
    <row r="175" spans="1:16">
      <c r="A175" s="3" t="s">
        <v>24</v>
      </c>
      <c r="B175" s="104">
        <f>SUM(B168:B174)</f>
        <v>52.898559999999996</v>
      </c>
      <c r="C175" s="104"/>
      <c r="E175" s="6"/>
    </row>
    <row r="176" spans="1:16">
      <c r="B176" s="46"/>
      <c r="C176" s="46"/>
    </row>
    <row r="177" spans="1:16">
      <c r="A177" s="2" t="s">
        <v>4</v>
      </c>
      <c r="B177" s="46"/>
      <c r="C177" s="46"/>
    </row>
    <row r="178" spans="1:16">
      <c r="A178" t="s">
        <v>5</v>
      </c>
      <c r="B178" s="46">
        <v>163.6</v>
      </c>
      <c r="C178" s="46"/>
      <c r="E178" s="52" t="s">
        <v>747</v>
      </c>
      <c r="F178" s="30"/>
      <c r="G178" s="30"/>
      <c r="H178" s="30"/>
      <c r="I178" s="30"/>
      <c r="J178" s="30"/>
      <c r="K178" s="30"/>
      <c r="L178" s="30"/>
      <c r="M178" s="30"/>
      <c r="N178" s="30"/>
      <c r="O178" s="30"/>
      <c r="P178" s="30"/>
    </row>
    <row r="179" spans="1:16">
      <c r="A179" t="s">
        <v>69</v>
      </c>
      <c r="B179" s="105"/>
      <c r="C179" s="105"/>
      <c r="E179" s="300"/>
      <c r="F179" s="300"/>
      <c r="G179" s="300"/>
      <c r="H179" s="300"/>
      <c r="I179" s="300"/>
      <c r="J179" s="300"/>
      <c r="K179" s="300"/>
      <c r="L179" s="300"/>
      <c r="M179" s="300"/>
      <c r="N179" s="300"/>
      <c r="O179" s="300"/>
      <c r="P179" s="300"/>
    </row>
    <row r="180" spans="1:16">
      <c r="A180" t="s">
        <v>6</v>
      </c>
      <c r="B180" s="114">
        <v>67.5</v>
      </c>
      <c r="C180" s="114"/>
      <c r="E180" s="120" t="s">
        <v>972</v>
      </c>
      <c r="F180" s="103"/>
      <c r="G180" s="103"/>
      <c r="H180" s="103"/>
      <c r="I180" s="103"/>
      <c r="J180" s="103"/>
      <c r="K180" s="103"/>
      <c r="L180" s="103"/>
      <c r="M180" s="103"/>
      <c r="N180" s="103"/>
      <c r="O180" s="103"/>
      <c r="P180" s="103"/>
    </row>
    <row r="181" spans="1:16">
      <c r="A181" s="3" t="s">
        <v>24</v>
      </c>
      <c r="B181" s="112">
        <f>SUM(B178:B180)</f>
        <v>231.1</v>
      </c>
      <c r="C181" s="112"/>
    </row>
    <row r="182" spans="1:16">
      <c r="A182" s="3"/>
      <c r="B182" s="112"/>
      <c r="C182" s="112"/>
    </row>
    <row r="183" spans="1:16">
      <c r="A183" s="52" t="s">
        <v>101</v>
      </c>
      <c r="B183" s="114">
        <v>96.5</v>
      </c>
      <c r="C183" s="112"/>
    </row>
    <row r="184" spans="1:16">
      <c r="A184" s="52" t="s">
        <v>929</v>
      </c>
      <c r="B184" s="46">
        <v>44</v>
      </c>
      <c r="C184" s="46"/>
    </row>
    <row r="185" spans="1:16">
      <c r="A185" t="s">
        <v>478</v>
      </c>
      <c r="B185" s="104">
        <f>SUM(B183:B184)</f>
        <v>140.5</v>
      </c>
      <c r="C185" s="104"/>
      <c r="E185" t="s">
        <v>98</v>
      </c>
    </row>
    <row r="186" spans="1:16">
      <c r="A186" s="3"/>
      <c r="B186" s="104"/>
      <c r="C186" s="104"/>
    </row>
    <row r="187" spans="1:16">
      <c r="A187" s="2" t="s">
        <v>334</v>
      </c>
      <c r="B187" s="46"/>
      <c r="C187" s="46"/>
    </row>
    <row r="188" spans="1:16">
      <c r="A188" s="103" t="s">
        <v>335</v>
      </c>
      <c r="B188" s="46">
        <f>'SA $ by prov 12-13'!B9</f>
        <v>43.3</v>
      </c>
      <c r="C188" s="46"/>
      <c r="E188" s="262" t="s">
        <v>975</v>
      </c>
    </row>
    <row r="189" spans="1:16">
      <c r="A189" s="103" t="s">
        <v>12</v>
      </c>
      <c r="B189" s="46">
        <f>(73.1*0.52)*0.57</f>
        <v>21.666839999999997</v>
      </c>
      <c r="C189" s="46" t="s">
        <v>437</v>
      </c>
      <c r="E189" s="218" t="s">
        <v>976</v>
      </c>
    </row>
    <row r="190" spans="1:16">
      <c r="A190" s="115" t="s">
        <v>24</v>
      </c>
      <c r="B190" s="104">
        <f>SUM(B188:B189)</f>
        <v>64.966839999999991</v>
      </c>
      <c r="C190" s="104" t="s">
        <v>437</v>
      </c>
    </row>
    <row r="191" spans="1:16">
      <c r="A191" s="3"/>
      <c r="B191" s="104"/>
      <c r="C191" s="104"/>
    </row>
    <row r="192" spans="1:16">
      <c r="A192" s="2" t="s">
        <v>13</v>
      </c>
      <c r="B192" s="46"/>
      <c r="C192" s="46"/>
    </row>
    <row r="193" spans="1:5">
      <c r="A193" t="s">
        <v>7</v>
      </c>
      <c r="B193" s="46">
        <v>73.3</v>
      </c>
      <c r="C193" s="46"/>
      <c r="E193" s="52" t="s">
        <v>973</v>
      </c>
    </row>
    <row r="194" spans="1:5">
      <c r="A194" t="s">
        <v>8</v>
      </c>
      <c r="B194" s="46"/>
      <c r="C194" s="46"/>
      <c r="E194" t="s">
        <v>167</v>
      </c>
    </row>
    <row r="195" spans="1:5">
      <c r="A195" s="3" t="s">
        <v>57</v>
      </c>
      <c r="B195" s="104">
        <f>SUM(B193:B194)</f>
        <v>73.3</v>
      </c>
      <c r="C195" s="104"/>
    </row>
    <row r="196" spans="1:5">
      <c r="A196" s="3"/>
      <c r="B196" s="104"/>
      <c r="C196" s="104"/>
    </row>
    <row r="197" spans="1:5">
      <c r="A197" t="s">
        <v>64</v>
      </c>
      <c r="B197" s="46"/>
      <c r="C197" s="46"/>
    </row>
    <row r="198" spans="1:5">
      <c r="A198" t="s">
        <v>9</v>
      </c>
      <c r="B198" s="46">
        <v>19</v>
      </c>
      <c r="C198" s="46"/>
      <c r="E198" s="52" t="s">
        <v>961</v>
      </c>
    </row>
    <row r="199" spans="1:5">
      <c r="A199" t="s">
        <v>10</v>
      </c>
      <c r="B199" s="46">
        <v>97</v>
      </c>
      <c r="C199" s="46"/>
      <c r="E199" s="52" t="s">
        <v>961</v>
      </c>
    </row>
    <row r="200" spans="1:5">
      <c r="A200" s="3" t="s">
        <v>24</v>
      </c>
      <c r="B200" s="104">
        <f>SUM(B198:B199)</f>
        <v>116</v>
      </c>
      <c r="C200" s="104"/>
      <c r="E200" t="s">
        <v>429</v>
      </c>
    </row>
    <row r="201" spans="1:5">
      <c r="B201" s="46"/>
      <c r="C201" s="46"/>
    </row>
    <row r="202" spans="1:5" ht="15.75">
      <c r="A202" s="4" t="s">
        <v>23</v>
      </c>
      <c r="B202" s="28">
        <f>SUM(B175+B181+B185+B190+B195+B200)</f>
        <v>678.7654</v>
      </c>
      <c r="C202" s="49"/>
    </row>
    <row r="205" spans="1:5">
      <c r="B205" s="41" t="s">
        <v>31</v>
      </c>
      <c r="C205" s="41"/>
    </row>
    <row r="206" spans="1:5">
      <c r="B206" s="41" t="s">
        <v>824</v>
      </c>
      <c r="C206" s="41"/>
    </row>
    <row r="207" spans="1:5">
      <c r="B207" s="41" t="s">
        <v>16</v>
      </c>
      <c r="C207" s="41"/>
    </row>
    <row r="208" spans="1:5">
      <c r="A208" s="2" t="s">
        <v>11</v>
      </c>
      <c r="B208" s="106"/>
      <c r="C208" s="106"/>
    </row>
    <row r="209" spans="1:16">
      <c r="B209" s="106"/>
      <c r="C209" s="106"/>
    </row>
    <row r="210" spans="1:16">
      <c r="A210" t="s">
        <v>0</v>
      </c>
      <c r="B210" s="46">
        <f>'CAN Disability detailes 13-14'!B6*0.022</f>
        <v>15.84</v>
      </c>
      <c r="C210" s="46"/>
      <c r="D210" s="302" t="s">
        <v>217</v>
      </c>
      <c r="E210" s="52" t="s">
        <v>811</v>
      </c>
    </row>
    <row r="211" spans="1:16">
      <c r="A211" t="s">
        <v>1</v>
      </c>
      <c r="B211" s="46">
        <f>'CAN Disability detailes 13-14'!B7*0.022</f>
        <v>28.49</v>
      </c>
      <c r="C211" s="46"/>
      <c r="D211" s="302" t="s">
        <v>217</v>
      </c>
      <c r="E211" s="52" t="s">
        <v>757</v>
      </c>
      <c r="I211" t="s">
        <v>93</v>
      </c>
    </row>
    <row r="212" spans="1:16">
      <c r="A212" t="s">
        <v>14</v>
      </c>
      <c r="B212" s="46">
        <f>'CAN Disability detailes 13-14'!B8*0.022</f>
        <v>2.42</v>
      </c>
      <c r="C212" s="46"/>
      <c r="D212" s="302" t="s">
        <v>217</v>
      </c>
      <c r="E212" s="52" t="s">
        <v>764</v>
      </c>
    </row>
    <row r="213" spans="1:16">
      <c r="A213" t="s">
        <v>2</v>
      </c>
      <c r="B213" s="46">
        <f>'CAN Disability detailes 13-14'!B9*0.022</f>
        <v>0.13200000000000001</v>
      </c>
      <c r="C213" s="46"/>
      <c r="D213" s="302" t="s">
        <v>217</v>
      </c>
    </row>
    <row r="214" spans="1:16">
      <c r="A214" t="s">
        <v>68</v>
      </c>
      <c r="B214" s="46">
        <f>'CAN Disability detailes 13-14'!B10*0.022</f>
        <v>0</v>
      </c>
      <c r="C214" s="46"/>
      <c r="D214" s="302" t="s">
        <v>217</v>
      </c>
    </row>
    <row r="215" spans="1:16">
      <c r="A215" t="s">
        <v>3</v>
      </c>
      <c r="B215" s="46">
        <f>'CAN Disability detailes 13-14'!B11*0.022</f>
        <v>3.19</v>
      </c>
      <c r="C215" s="46"/>
      <c r="D215" s="302" t="s">
        <v>217</v>
      </c>
    </row>
    <row r="216" spans="1:16">
      <c r="A216" t="s">
        <v>15</v>
      </c>
      <c r="B216" s="46">
        <f>'CAN Disability detailes 13-14'!B12*0.022</f>
        <v>5.4037499999999996</v>
      </c>
      <c r="C216" s="46"/>
      <c r="D216" s="302" t="s">
        <v>217</v>
      </c>
      <c r="E216" s="248" t="s">
        <v>908</v>
      </c>
      <c r="F216" s="249"/>
      <c r="G216" s="249"/>
      <c r="H216" s="249"/>
      <c r="I216" s="30"/>
      <c r="J216" s="30"/>
      <c r="K216" s="30"/>
      <c r="L216" s="30"/>
      <c r="M216" s="30"/>
      <c r="N216" s="30"/>
      <c r="O216" s="30"/>
      <c r="P216" s="30"/>
    </row>
    <row r="217" spans="1:16">
      <c r="A217" s="3" t="s">
        <v>24</v>
      </c>
      <c r="B217" s="104">
        <f>SUM(B210:B216)</f>
        <v>55.475749999999998</v>
      </c>
      <c r="C217" s="104"/>
      <c r="E217" s="6"/>
    </row>
    <row r="218" spans="1:16">
      <c r="B218" s="46"/>
      <c r="C218" s="46"/>
    </row>
    <row r="219" spans="1:16">
      <c r="A219" s="2" t="s">
        <v>4</v>
      </c>
      <c r="B219" s="46"/>
      <c r="C219" s="46"/>
    </row>
    <row r="220" spans="1:16">
      <c r="A220" t="s">
        <v>5</v>
      </c>
      <c r="B220" s="46">
        <v>160.9</v>
      </c>
      <c r="C220" s="46"/>
      <c r="E220" s="52" t="s">
        <v>747</v>
      </c>
      <c r="F220" s="30"/>
      <c r="G220" s="30"/>
      <c r="H220" s="30"/>
      <c r="I220" s="30"/>
      <c r="J220" s="30"/>
      <c r="K220" s="30"/>
      <c r="L220" s="30"/>
      <c r="M220" s="30"/>
      <c r="N220" s="30"/>
      <c r="O220" s="30"/>
      <c r="P220" s="30"/>
    </row>
    <row r="221" spans="1:16">
      <c r="A221" t="s">
        <v>69</v>
      </c>
      <c r="B221" s="105"/>
      <c r="C221" s="105"/>
      <c r="E221" s="300"/>
      <c r="F221" s="300"/>
      <c r="G221" s="300"/>
      <c r="H221" s="300"/>
      <c r="I221" s="300"/>
      <c r="J221" s="300"/>
      <c r="K221" s="300"/>
      <c r="L221" s="300"/>
      <c r="M221" s="300"/>
      <c r="N221" s="300"/>
      <c r="O221" s="300"/>
      <c r="P221" s="300"/>
    </row>
    <row r="222" spans="1:16">
      <c r="A222" t="s">
        <v>6</v>
      </c>
      <c r="B222" s="114">
        <v>70.099999999999994</v>
      </c>
      <c r="C222" s="114"/>
      <c r="E222" s="120" t="s">
        <v>971</v>
      </c>
      <c r="F222" s="103"/>
      <c r="G222" s="103"/>
      <c r="H222" s="103"/>
      <c r="I222" s="103"/>
      <c r="J222" s="103"/>
      <c r="K222" s="103"/>
      <c r="L222" s="103"/>
      <c r="M222" s="103"/>
      <c r="N222" s="103"/>
      <c r="O222" s="103"/>
      <c r="P222" s="103"/>
    </row>
    <row r="223" spans="1:16">
      <c r="A223" s="3" t="s">
        <v>24</v>
      </c>
      <c r="B223" s="112">
        <f>SUM(B220:B222)</f>
        <v>231</v>
      </c>
      <c r="C223" s="112"/>
    </row>
    <row r="224" spans="1:16">
      <c r="A224" s="3"/>
      <c r="B224" s="112"/>
      <c r="C224" s="112"/>
    </row>
    <row r="225" spans="1:5">
      <c r="A225" s="52" t="s">
        <v>101</v>
      </c>
      <c r="B225" s="114">
        <v>93.5</v>
      </c>
      <c r="C225" s="112"/>
    </row>
    <row r="226" spans="1:5">
      <c r="A226" s="52" t="s">
        <v>929</v>
      </c>
      <c r="B226" s="46">
        <v>47.3</v>
      </c>
      <c r="C226" s="46"/>
    </row>
    <row r="227" spans="1:5">
      <c r="A227" t="s">
        <v>478</v>
      </c>
      <c r="B227" s="104">
        <f>SUM(B225:B226)</f>
        <v>140.80000000000001</v>
      </c>
      <c r="C227" s="104"/>
      <c r="E227" t="s">
        <v>98</v>
      </c>
    </row>
    <row r="228" spans="1:5">
      <c r="A228" s="3"/>
      <c r="B228" s="104"/>
      <c r="C228" s="104"/>
    </row>
    <row r="229" spans="1:5">
      <c r="A229" s="2" t="s">
        <v>334</v>
      </c>
      <c r="B229" s="46"/>
      <c r="C229" s="46"/>
    </row>
    <row r="230" spans="1:5">
      <c r="A230" s="103" t="s">
        <v>335</v>
      </c>
      <c r="B230" s="46">
        <f>'SA $ by prov 13-14'!B9</f>
        <v>44.5</v>
      </c>
      <c r="C230" s="46"/>
      <c r="E230" s="262" t="s">
        <v>977</v>
      </c>
    </row>
    <row r="231" spans="1:5">
      <c r="A231" s="103" t="s">
        <v>12</v>
      </c>
      <c r="B231" s="46">
        <f>(74.9*0.52)*0.59</f>
        <v>22.979320000000005</v>
      </c>
      <c r="C231" s="46" t="s">
        <v>437</v>
      </c>
      <c r="E231" s="218" t="s">
        <v>1018</v>
      </c>
    </row>
    <row r="232" spans="1:5">
      <c r="A232" s="115" t="s">
        <v>24</v>
      </c>
      <c r="B232" s="104">
        <f>SUM(B230:B231)</f>
        <v>67.479320000000001</v>
      </c>
      <c r="C232" s="104" t="s">
        <v>437</v>
      </c>
    </row>
    <row r="233" spans="1:5">
      <c r="A233" s="3"/>
      <c r="B233" s="104"/>
      <c r="C233" s="104"/>
    </row>
    <row r="234" spans="1:5">
      <c r="A234" s="2" t="s">
        <v>13</v>
      </c>
      <c r="B234" s="46"/>
      <c r="C234" s="46"/>
    </row>
    <row r="235" spans="1:5">
      <c r="A235" t="s">
        <v>7</v>
      </c>
      <c r="B235" s="46">
        <v>72.900000000000006</v>
      </c>
      <c r="C235" s="46"/>
      <c r="E235" s="52" t="s">
        <v>974</v>
      </c>
    </row>
    <row r="236" spans="1:5">
      <c r="A236" t="s">
        <v>8</v>
      </c>
      <c r="B236" s="46"/>
      <c r="C236" s="46"/>
      <c r="E236" s="52" t="s">
        <v>1028</v>
      </c>
    </row>
    <row r="237" spans="1:5">
      <c r="A237" s="3" t="s">
        <v>57</v>
      </c>
      <c r="B237" s="104">
        <f>SUM(B235:B236)</f>
        <v>72.900000000000006</v>
      </c>
      <c r="C237" s="104"/>
    </row>
    <row r="238" spans="1:5">
      <c r="A238" s="3"/>
      <c r="B238" s="104"/>
      <c r="C238" s="104"/>
    </row>
    <row r="239" spans="1:5">
      <c r="A239" t="s">
        <v>64</v>
      </c>
      <c r="B239" s="46"/>
      <c r="C239" s="46"/>
    </row>
    <row r="240" spans="1:5">
      <c r="A240" t="s">
        <v>9</v>
      </c>
      <c r="B240" s="46">
        <v>13</v>
      </c>
      <c r="C240" s="46"/>
      <c r="E240" s="52" t="s">
        <v>927</v>
      </c>
    </row>
    <row r="241" spans="1:29">
      <c r="A241" t="s">
        <v>10</v>
      </c>
      <c r="B241" s="46">
        <v>129</v>
      </c>
      <c r="C241" s="46"/>
      <c r="E241" s="52" t="s">
        <v>927</v>
      </c>
    </row>
    <row r="242" spans="1:29">
      <c r="A242" s="3" t="s">
        <v>24</v>
      </c>
      <c r="B242" s="104">
        <f>SUM(B240:B241)</f>
        <v>142</v>
      </c>
      <c r="C242" s="104"/>
      <c r="E242" t="s">
        <v>429</v>
      </c>
    </row>
    <row r="243" spans="1:29">
      <c r="B243" s="46"/>
      <c r="C243" s="46"/>
    </row>
    <row r="244" spans="1:29" ht="15.75">
      <c r="A244" s="4" t="s">
        <v>23</v>
      </c>
      <c r="B244" s="28">
        <f>SUM(B217+B223+B227+B232+B237+B242)</f>
        <v>709.65507000000002</v>
      </c>
      <c r="C244" s="49"/>
    </row>
    <row r="251" spans="1:29">
      <c r="V251" s="224" t="s">
        <v>687</v>
      </c>
      <c r="W251" s="224"/>
      <c r="X251" s="224"/>
      <c r="Y251" s="224"/>
      <c r="Z251" s="2"/>
      <c r="AA251" s="2"/>
      <c r="AB251" s="2"/>
    </row>
    <row r="252" spans="1:29" ht="49.5" customHeight="1">
      <c r="A252" s="4" t="s">
        <v>433</v>
      </c>
      <c r="O252" s="2" t="s">
        <v>389</v>
      </c>
      <c r="V252" s="226">
        <v>2005</v>
      </c>
      <c r="W252" s="226">
        <v>2010</v>
      </c>
      <c r="X252" s="226">
        <v>2011</v>
      </c>
      <c r="Y252" s="226">
        <v>2013</v>
      </c>
      <c r="Z252" s="322" t="s">
        <v>1030</v>
      </c>
      <c r="AA252" s="322"/>
      <c r="AB252" s="322"/>
      <c r="AC252" s="230"/>
    </row>
    <row r="253" spans="1:29" ht="51">
      <c r="B253" s="41" t="s">
        <v>58</v>
      </c>
      <c r="C253" s="41"/>
      <c r="D253" s="41" t="s">
        <v>181</v>
      </c>
      <c r="E253" s="256" t="s">
        <v>743</v>
      </c>
      <c r="F253" s="41" t="s">
        <v>514</v>
      </c>
      <c r="G253" s="256" t="s">
        <v>743</v>
      </c>
      <c r="H253" s="256" t="s">
        <v>689</v>
      </c>
      <c r="I253" s="256" t="s">
        <v>743</v>
      </c>
      <c r="J253" s="301" t="s">
        <v>823</v>
      </c>
      <c r="K253" s="301" t="s">
        <v>743</v>
      </c>
      <c r="L253" s="301" t="s">
        <v>824</v>
      </c>
      <c r="M253" s="301" t="s">
        <v>743</v>
      </c>
      <c r="N253" s="301"/>
      <c r="O253" s="41" t="s">
        <v>58</v>
      </c>
      <c r="P253" s="41" t="s">
        <v>181</v>
      </c>
      <c r="Q253" s="41" t="s">
        <v>514</v>
      </c>
      <c r="R253" s="256" t="s">
        <v>689</v>
      </c>
      <c r="S253" s="301" t="s">
        <v>823</v>
      </c>
      <c r="T253" s="41" t="s">
        <v>824</v>
      </c>
      <c r="V253" s="232">
        <v>748044</v>
      </c>
      <c r="W253" s="232">
        <v>753044</v>
      </c>
      <c r="X253" s="232">
        <v>755530</v>
      </c>
      <c r="Y253" s="232">
        <v>755718</v>
      </c>
      <c r="Z253" s="256" t="s">
        <v>743</v>
      </c>
      <c r="AA253" s="50"/>
      <c r="AB253" s="50"/>
    </row>
    <row r="254" spans="1:29">
      <c r="A254" s="2" t="s">
        <v>11</v>
      </c>
      <c r="B254" s="9">
        <f>B13</f>
        <v>39.330000000000005</v>
      </c>
      <c r="C254" s="9"/>
      <c r="D254" s="9">
        <f>B54</f>
        <v>45.067</v>
      </c>
      <c r="E254" s="29">
        <f>(D254-B254)/B254</f>
        <v>0.14586829392321368</v>
      </c>
      <c r="F254" s="9">
        <f>B95</f>
        <v>48.188799999999993</v>
      </c>
      <c r="G254" s="29">
        <f>(F254-B254)/B254</f>
        <v>0.22524281718789693</v>
      </c>
      <c r="H254" s="9">
        <f>B135</f>
        <v>50.786119999999997</v>
      </c>
      <c r="I254" s="29">
        <f>(H254-B254)/B254</f>
        <v>0.29128197304856318</v>
      </c>
      <c r="J254" s="9">
        <f>B175</f>
        <v>52.898559999999996</v>
      </c>
      <c r="K254" s="29">
        <f>(J254-B254)/B254</f>
        <v>0.34499262649377038</v>
      </c>
      <c r="L254" s="9">
        <f>B217</f>
        <v>55.475749999999998</v>
      </c>
      <c r="M254" s="29">
        <f>(L254-B254)/B254</f>
        <v>0.41051995931858609</v>
      </c>
      <c r="N254" s="29"/>
      <c r="O254" s="29">
        <f>B254/$B$263</f>
        <v>7.6481054750167726E-2</v>
      </c>
      <c r="P254" s="29">
        <f>D254/$D$263</f>
        <v>7.3210154909809227E-2</v>
      </c>
      <c r="Q254" s="29">
        <f>F254/$F$263</f>
        <v>7.4682093394770777E-2</v>
      </c>
      <c r="R254" s="29">
        <f>H254/$H$263</f>
        <v>7.6487640887925659E-2</v>
      </c>
      <c r="S254" s="29">
        <f>J254/$J$263</f>
        <v>7.7933495136905909E-2</v>
      </c>
      <c r="T254" s="29">
        <f>L254/$L$263</f>
        <v>7.8172836840297633E-2</v>
      </c>
      <c r="V254" s="225">
        <f>(B254*1000000)/$V$253</f>
        <v>52.577121131912037</v>
      </c>
      <c r="W254" s="225">
        <f>(F254*1000000)/$W$253</f>
        <v>63.992011090985379</v>
      </c>
      <c r="X254" s="225">
        <f>(H254*1000000)/$X$253</f>
        <v>67.219197119902589</v>
      </c>
      <c r="Y254" s="225">
        <f>L254*1000000/$Y$253</f>
        <v>73.408004043836456</v>
      </c>
      <c r="Z254" s="56">
        <f>(Y254-V254)/V254</f>
        <v>0.39619671947540269</v>
      </c>
      <c r="AA254" s="2"/>
      <c r="AB254" s="2"/>
    </row>
    <row r="255" spans="1:29">
      <c r="A255" s="2" t="s">
        <v>5</v>
      </c>
      <c r="B255" s="9">
        <f>B16</f>
        <v>138.1</v>
      </c>
      <c r="C255" s="9"/>
      <c r="D255" s="9">
        <f>B57</f>
        <v>152.6</v>
      </c>
      <c r="E255" s="29">
        <f t="shared" ref="E255:E268" si="0">(D255-B255)/B255</f>
        <v>0.1049963794351919</v>
      </c>
      <c r="F255" s="9">
        <f>B98</f>
        <v>157.9</v>
      </c>
      <c r="G255" s="29">
        <f t="shared" ref="G255:G263" si="1">(F255-B255)/B255</f>
        <v>0.14337436640115866</v>
      </c>
      <c r="H255" s="9">
        <f>B138</f>
        <v>165.3</v>
      </c>
      <c r="I255" s="29">
        <f t="shared" ref="I255:I263" si="2">(H255-B255)/B255</f>
        <v>0.19695872556118768</v>
      </c>
      <c r="J255" s="9">
        <f>B178</f>
        <v>163.6</v>
      </c>
      <c r="K255" s="29">
        <f t="shared" ref="K255:K263" si="3">(J255-B255)/B255</f>
        <v>0.18464880521361332</v>
      </c>
      <c r="L255" s="9">
        <f>B220</f>
        <v>160.9</v>
      </c>
      <c r="M255" s="29">
        <f t="shared" ref="M255:M263" si="4">(L255-B255)/B255</f>
        <v>0.16509775524981907</v>
      </c>
      <c r="N255" s="29"/>
      <c r="O255" s="29">
        <f t="shared" ref="O255:O263" si="5">B255/$B$263</f>
        <v>0.26854903790994561</v>
      </c>
      <c r="P255" s="29">
        <f t="shared" ref="P255:P263" si="6">D255/$D$263</f>
        <v>0.24789468212299215</v>
      </c>
      <c r="Q255" s="29">
        <f t="shared" ref="Q255:Q263" si="7">F255/$F$263</f>
        <v>0.24471044199138195</v>
      </c>
      <c r="R255" s="29">
        <f t="shared" ref="R255:R263" si="8">H255/$H$263</f>
        <v>0.24895398661630602</v>
      </c>
      <c r="S255" s="29">
        <f t="shared" ref="S255:S263" si="9">J255/$J$263</f>
        <v>0.24102583897175667</v>
      </c>
      <c r="T255" s="29">
        <f t="shared" ref="T255:T263" si="10">L255/$L$263</f>
        <v>0.22672986751155036</v>
      </c>
      <c r="V255" s="225">
        <f t="shared" ref="V255:V268" si="11">(B255*1000000)/$V$253</f>
        <v>184.61480875456525</v>
      </c>
      <c r="W255" s="225">
        <f t="shared" ref="W255:W268" si="12">(F255*1000000)/$W$253</f>
        <v>209.68230276052927</v>
      </c>
      <c r="X255" s="225">
        <f t="shared" ref="X255:X268" si="13">(H255*1000000)/$X$253</f>
        <v>218.78681190687331</v>
      </c>
      <c r="Y255" s="225">
        <f t="shared" ref="Y255:Y268" si="14">L255*1000000/$Y$253</f>
        <v>212.91010668000499</v>
      </c>
      <c r="Z255" s="56">
        <f t="shared" ref="Z255:Z268" si="15">(Y255-V255)/V255</f>
        <v>0.15326667517261147</v>
      </c>
      <c r="AA255" s="2"/>
      <c r="AB255" s="2"/>
    </row>
    <row r="256" spans="1:29">
      <c r="A256" s="2" t="s">
        <v>6</v>
      </c>
      <c r="B256" s="9">
        <f>B18</f>
        <v>41.8</v>
      </c>
      <c r="C256" s="9"/>
      <c r="D256" s="9">
        <f>B59</f>
        <v>60.6</v>
      </c>
      <c r="E256" s="29">
        <f t="shared" si="0"/>
        <v>0.44976076555023936</v>
      </c>
      <c r="F256" s="9">
        <f>B100</f>
        <v>61.2</v>
      </c>
      <c r="G256" s="29">
        <f t="shared" si="1"/>
        <v>0.46411483253588531</v>
      </c>
      <c r="H256" s="9">
        <f>B140</f>
        <v>66.599999999999994</v>
      </c>
      <c r="I256" s="29">
        <f t="shared" si="2"/>
        <v>0.59330143540669855</v>
      </c>
      <c r="J256" s="9">
        <f>B180</f>
        <v>67.5</v>
      </c>
      <c r="K256" s="29">
        <f t="shared" si="3"/>
        <v>0.61483253588516762</v>
      </c>
      <c r="L256" s="9">
        <f>B222</f>
        <v>70.099999999999994</v>
      </c>
      <c r="M256" s="29">
        <f t="shared" si="4"/>
        <v>0.67703349282296643</v>
      </c>
      <c r="N256" s="29"/>
      <c r="O256" s="29">
        <f t="shared" si="5"/>
        <v>8.1284212777956028E-2</v>
      </c>
      <c r="P256" s="29">
        <f t="shared" si="6"/>
        <v>9.8443104434163348E-2</v>
      </c>
      <c r="Q256" s="29">
        <f t="shared" si="7"/>
        <v>9.4846605762334238E-2</v>
      </c>
      <c r="R256" s="29">
        <f t="shared" si="8"/>
        <v>0.10030451003415596</v>
      </c>
      <c r="S256" s="29">
        <f t="shared" si="9"/>
        <v>9.9445257521965619E-2</v>
      </c>
      <c r="T256" s="29">
        <f t="shared" si="10"/>
        <v>9.8780383546051453E-2</v>
      </c>
      <c r="V256" s="225">
        <f t="shared" si="11"/>
        <v>55.879065937297803</v>
      </c>
      <c r="W256" s="225">
        <f t="shared" si="12"/>
        <v>81.270151544929647</v>
      </c>
      <c r="X256" s="225">
        <f t="shared" si="13"/>
        <v>88.150040369012473</v>
      </c>
      <c r="Y256" s="225">
        <f t="shared" si="14"/>
        <v>92.759468478982896</v>
      </c>
      <c r="Z256" s="56">
        <f t="shared" si="15"/>
        <v>0.66000391959072457</v>
      </c>
      <c r="AA256" s="2"/>
      <c r="AB256" s="2"/>
    </row>
    <row r="257" spans="1:30">
      <c r="A257" s="2" t="s">
        <v>478</v>
      </c>
      <c r="B257" s="9">
        <f>B21</f>
        <v>91.08</v>
      </c>
      <c r="C257" s="9"/>
      <c r="D257" s="9">
        <f>B62</f>
        <v>121.812</v>
      </c>
      <c r="E257" s="29">
        <f t="shared" si="0"/>
        <v>0.33741765480895913</v>
      </c>
      <c r="F257" s="9">
        <f>B103</f>
        <v>137.9</v>
      </c>
      <c r="G257" s="29">
        <f t="shared" si="1"/>
        <v>0.51405357927097062</v>
      </c>
      <c r="H257" s="9">
        <f>B143</f>
        <v>135.4</v>
      </c>
      <c r="I257" s="29">
        <f t="shared" si="2"/>
        <v>0.48660518225735627</v>
      </c>
      <c r="J257" s="9">
        <f>B185</f>
        <v>140.5</v>
      </c>
      <c r="K257" s="29">
        <f t="shared" si="3"/>
        <v>0.54259991216512959</v>
      </c>
      <c r="L257" s="9">
        <f>B227</f>
        <v>140.80000000000001</v>
      </c>
      <c r="M257" s="29">
        <f t="shared" si="4"/>
        <v>0.54589371980676349</v>
      </c>
      <c r="N257" s="29"/>
      <c r="O257" s="29">
        <f t="shared" si="5"/>
        <v>0.17711402152670419</v>
      </c>
      <c r="P257" s="29">
        <f t="shared" si="6"/>
        <v>0.1978803867546915</v>
      </c>
      <c r="Q257" s="29">
        <f t="shared" si="7"/>
        <v>0.21371481919323351</v>
      </c>
      <c r="R257" s="29">
        <f t="shared" si="8"/>
        <v>0.2039223822616324</v>
      </c>
      <c r="S257" s="29">
        <f t="shared" si="9"/>
        <v>0.20699346195312843</v>
      </c>
      <c r="T257" s="29">
        <f t="shared" si="10"/>
        <v>0.19840624826368111</v>
      </c>
      <c r="V257" s="225">
        <f t="shared" si="11"/>
        <v>121.75754367390154</v>
      </c>
      <c r="W257" s="225">
        <f t="shared" si="12"/>
        <v>183.1234297066307</v>
      </c>
      <c r="X257" s="225">
        <f t="shared" si="13"/>
        <v>179.21194393339775</v>
      </c>
      <c r="Y257" s="225">
        <f t="shared" si="14"/>
        <v>186.3128839064307</v>
      </c>
      <c r="Z257" s="56">
        <f t="shared" si="15"/>
        <v>0.53019581608368516</v>
      </c>
      <c r="AA257" s="2"/>
      <c r="AB257" s="2"/>
    </row>
    <row r="258" spans="1:30">
      <c r="A258" s="107" t="s">
        <v>359</v>
      </c>
      <c r="B258" s="9">
        <f>B25</f>
        <v>37.799999999999997</v>
      </c>
      <c r="C258" s="9"/>
      <c r="D258" s="9">
        <f>B65</f>
        <v>42.2</v>
      </c>
      <c r="E258" s="29">
        <f t="shared" si="0"/>
        <v>0.11640211640211656</v>
      </c>
      <c r="F258" s="9">
        <f>B106</f>
        <v>42.3</v>
      </c>
      <c r="G258" s="29">
        <f t="shared" si="1"/>
        <v>0.11904761904761905</v>
      </c>
      <c r="H258" s="9">
        <f>B146</f>
        <v>42.9</v>
      </c>
      <c r="I258" s="29">
        <f t="shared" si="2"/>
        <v>0.13492063492063497</v>
      </c>
      <c r="J258" s="9">
        <f>B188</f>
        <v>43.3</v>
      </c>
      <c r="K258" s="29">
        <f t="shared" si="3"/>
        <v>0.14550264550264552</v>
      </c>
      <c r="L258" s="9">
        <f>B230</f>
        <v>44.5</v>
      </c>
      <c r="M258" s="29">
        <f t="shared" si="4"/>
        <v>0.17724867724867735</v>
      </c>
      <c r="N258" s="29"/>
      <c r="O258" s="144">
        <f t="shared" si="5"/>
        <v>7.3505819210687509E-2</v>
      </c>
      <c r="P258" s="144">
        <f t="shared" si="6"/>
        <v>6.8552788896397585E-2</v>
      </c>
      <c r="Q258" s="144">
        <f t="shared" si="7"/>
        <v>6.5555742218083954E-2</v>
      </c>
      <c r="R258" s="29">
        <f t="shared" si="8"/>
        <v>6.4610562769749108E-2</v>
      </c>
      <c r="S258" s="29">
        <f t="shared" si="9"/>
        <v>6.3792291121497938E-2</v>
      </c>
      <c r="T258" s="29">
        <f t="shared" si="10"/>
        <v>6.2706520225382173E-2</v>
      </c>
      <c r="V258" s="225">
        <f t="shared" si="11"/>
        <v>50.531786900235815</v>
      </c>
      <c r="W258" s="225">
        <f t="shared" si="12"/>
        <v>56.17201650899549</v>
      </c>
      <c r="X258" s="225">
        <f t="shared" si="13"/>
        <v>56.781332309769304</v>
      </c>
      <c r="Y258" s="225">
        <f t="shared" si="14"/>
        <v>58.884398677813685</v>
      </c>
      <c r="Z258" s="56">
        <f t="shared" si="15"/>
        <v>0.16529420964408625</v>
      </c>
      <c r="AA258" s="2"/>
      <c r="AB258" s="2"/>
    </row>
    <row r="259" spans="1:30">
      <c r="A259" s="2" t="s">
        <v>327</v>
      </c>
      <c r="B259" s="9">
        <f>B26</f>
        <v>17.435000000000002</v>
      </c>
      <c r="C259" s="9"/>
      <c r="D259" s="9">
        <f>B66</f>
        <v>20.405000000000001</v>
      </c>
      <c r="E259" s="29">
        <f t="shared" si="0"/>
        <v>0.17034700315457404</v>
      </c>
      <c r="F259" s="9">
        <f>B107</f>
        <v>20.7636</v>
      </c>
      <c r="G259" s="29">
        <f t="shared" si="1"/>
        <v>0.19091482649842256</v>
      </c>
      <c r="H259" s="9">
        <f>B147</f>
        <v>20.591999999999999</v>
      </c>
      <c r="I259" s="29">
        <f t="shared" si="2"/>
        <v>0.18107255520504709</v>
      </c>
      <c r="J259" s="9">
        <f>B189</f>
        <v>21.666839999999997</v>
      </c>
      <c r="K259" s="29">
        <f t="shared" si="3"/>
        <v>0.24272096357900741</v>
      </c>
      <c r="L259" s="9">
        <f>B231</f>
        <v>22.979320000000005</v>
      </c>
      <c r="M259" s="29">
        <f t="shared" si="4"/>
        <v>0.31799942644106693</v>
      </c>
      <c r="N259" s="29"/>
      <c r="O259" s="29">
        <f t="shared" si="5"/>
        <v>3.3904072961331667E-2</v>
      </c>
      <c r="P259" s="29">
        <f t="shared" si="6"/>
        <v>3.3147385247179917E-2</v>
      </c>
      <c r="Q259" s="29">
        <f t="shared" si="7"/>
        <v>3.2179035676581751E-2</v>
      </c>
      <c r="R259" s="29">
        <f t="shared" si="8"/>
        <v>3.1013070129479573E-2</v>
      </c>
      <c r="S259" s="29">
        <f t="shared" si="9"/>
        <v>3.1920955310921852E-2</v>
      </c>
      <c r="T259" s="29">
        <f t="shared" si="10"/>
        <v>3.2380970659450094E-2</v>
      </c>
      <c r="V259" s="225">
        <f t="shared" si="11"/>
        <v>23.307452502793957</v>
      </c>
      <c r="W259" s="225">
        <f t="shared" si="12"/>
        <v>27.572890827096426</v>
      </c>
      <c r="X259" s="225">
        <f t="shared" si="13"/>
        <v>27.255039508689265</v>
      </c>
      <c r="Y259" s="225">
        <f t="shared" si="14"/>
        <v>30.407268319664219</v>
      </c>
      <c r="Z259" s="56">
        <f t="shared" si="15"/>
        <v>0.30461569388671622</v>
      </c>
      <c r="AA259" s="2"/>
      <c r="AB259" s="2"/>
    </row>
    <row r="260" spans="1:30">
      <c r="A260" s="2" t="s">
        <v>503</v>
      </c>
      <c r="B260" s="9">
        <f>B258+B259</f>
        <v>55.234999999999999</v>
      </c>
      <c r="C260" s="9"/>
      <c r="D260" s="9">
        <f>D258+D259</f>
        <v>62.605000000000004</v>
      </c>
      <c r="E260" s="29">
        <f>(D260-B260)/B260</f>
        <v>0.13342989046800044</v>
      </c>
      <c r="F260" s="9">
        <f>F258+F259</f>
        <v>63.063599999999994</v>
      </c>
      <c r="G260" s="29">
        <f t="shared" si="1"/>
        <v>0.14173259708518141</v>
      </c>
      <c r="H260" s="9">
        <f>B148</f>
        <v>63.491999999999997</v>
      </c>
      <c r="I260" s="29">
        <f t="shared" si="2"/>
        <v>0.14948854892731053</v>
      </c>
      <c r="J260" s="9">
        <f>B190</f>
        <v>64.966839999999991</v>
      </c>
      <c r="K260" s="29">
        <f t="shared" si="3"/>
        <v>0.17618973476962055</v>
      </c>
      <c r="L260" s="9">
        <f>B232</f>
        <v>67.479320000000001</v>
      </c>
      <c r="M260" s="29">
        <f t="shared" si="4"/>
        <v>0.22167683533991134</v>
      </c>
      <c r="N260" s="29"/>
      <c r="O260" s="29">
        <f>B260/$B$263</f>
        <v>0.10740989217201917</v>
      </c>
      <c r="P260" s="29">
        <f>D260/$D$263</f>
        <v>0.1017001741435775</v>
      </c>
      <c r="Q260" s="29">
        <f t="shared" si="7"/>
        <v>9.7734777894665698E-2</v>
      </c>
      <c r="R260" s="29">
        <f t="shared" si="8"/>
        <v>9.5623632899228678E-2</v>
      </c>
      <c r="S260" s="29">
        <f t="shared" si="9"/>
        <v>9.5713246432419782E-2</v>
      </c>
      <c r="T260" s="29">
        <f t="shared" si="10"/>
        <v>9.508749088483226E-2</v>
      </c>
      <c r="V260" s="225">
        <f t="shared" si="11"/>
        <v>73.839239403029765</v>
      </c>
      <c r="W260" s="225">
        <f t="shared" si="12"/>
        <v>83.744907336091899</v>
      </c>
      <c r="X260" s="225">
        <f t="shared" si="13"/>
        <v>84.036371818458562</v>
      </c>
      <c r="Y260" s="225">
        <f t="shared" si="14"/>
        <v>89.29166699747789</v>
      </c>
      <c r="Z260" s="56">
        <f t="shared" si="15"/>
        <v>0.20927121838438226</v>
      </c>
      <c r="AA260" s="2"/>
      <c r="AB260" s="2"/>
      <c r="AD260" s="39"/>
    </row>
    <row r="261" spans="1:30">
      <c r="A261" s="2" t="s">
        <v>369</v>
      </c>
      <c r="B261" s="9">
        <f>B30</f>
        <v>69.7</v>
      </c>
      <c r="C261" s="9"/>
      <c r="D261" s="9">
        <f>B70</f>
        <v>73.900000000000006</v>
      </c>
      <c r="E261" s="29">
        <f t="shared" si="0"/>
        <v>6.0258249641319983E-2</v>
      </c>
      <c r="F261" s="9">
        <f>B111</f>
        <v>73</v>
      </c>
      <c r="G261" s="29">
        <f t="shared" si="1"/>
        <v>4.7345767575322772E-2</v>
      </c>
      <c r="H261" s="9">
        <f>B153</f>
        <v>73.400000000000006</v>
      </c>
      <c r="I261" s="29">
        <f t="shared" si="2"/>
        <v>5.3084648493543794E-2</v>
      </c>
      <c r="J261" s="9">
        <f>B195</f>
        <v>73.3</v>
      </c>
      <c r="K261" s="29">
        <f t="shared" si="3"/>
        <v>5.164992826398844E-2</v>
      </c>
      <c r="L261" s="9">
        <f>B237</f>
        <v>72.900000000000006</v>
      </c>
      <c r="M261" s="29">
        <f t="shared" si="4"/>
        <v>4.5911047345767612E-2</v>
      </c>
      <c r="N261" s="29"/>
      <c r="O261" s="29">
        <f t="shared" si="5"/>
        <v>0.13553850790965397</v>
      </c>
      <c r="P261" s="29">
        <f t="shared" si="6"/>
        <v>0.1200486042522223</v>
      </c>
      <c r="Q261" s="29">
        <f t="shared" si="7"/>
        <v>0.11313402321324181</v>
      </c>
      <c r="R261" s="29">
        <f t="shared" si="8"/>
        <v>0.11054581135896469</v>
      </c>
      <c r="S261" s="29">
        <f t="shared" si="9"/>
        <v>0.10799018335348266</v>
      </c>
      <c r="T261" s="29">
        <f t="shared" si="10"/>
        <v>0.10272596234674967</v>
      </c>
      <c r="V261" s="225">
        <f t="shared" si="11"/>
        <v>93.176337220805195</v>
      </c>
      <c r="W261" s="225">
        <f t="shared" si="12"/>
        <v>96.939886646729803</v>
      </c>
      <c r="X261" s="225">
        <f t="shared" si="13"/>
        <v>97.15034479107382</v>
      </c>
      <c r="Y261" s="225">
        <f t="shared" si="14"/>
        <v>96.464554238485789</v>
      </c>
      <c r="Z261" s="56">
        <f t="shared" si="15"/>
        <v>3.5290258404216103E-2</v>
      </c>
      <c r="AA261" s="2"/>
      <c r="AB261" s="2"/>
    </row>
    <row r="262" spans="1:30">
      <c r="A262" s="2" t="s">
        <v>180</v>
      </c>
      <c r="B262" s="9">
        <f>B36</f>
        <v>79</v>
      </c>
      <c r="C262" s="9"/>
      <c r="D262" s="9">
        <f>B77</f>
        <v>99</v>
      </c>
      <c r="E262" s="29">
        <f t="shared" si="0"/>
        <v>0.25316455696202533</v>
      </c>
      <c r="F262" s="9">
        <f>B118</f>
        <v>104</v>
      </c>
      <c r="G262" s="29">
        <f t="shared" si="1"/>
        <v>0.31645569620253167</v>
      </c>
      <c r="H262" s="9">
        <f>B158</f>
        <v>109</v>
      </c>
      <c r="I262" s="29">
        <f t="shared" si="2"/>
        <v>0.379746835443038</v>
      </c>
      <c r="J262" s="9">
        <f>B200</f>
        <v>116</v>
      </c>
      <c r="K262" s="29">
        <f t="shared" si="3"/>
        <v>0.46835443037974683</v>
      </c>
      <c r="L262" s="9">
        <f>B242</f>
        <v>142</v>
      </c>
      <c r="M262" s="29">
        <f t="shared" si="4"/>
        <v>0.79746835443037978</v>
      </c>
      <c r="N262" s="29"/>
      <c r="O262" s="29">
        <f t="shared" si="5"/>
        <v>0.15362327295355327</v>
      </c>
      <c r="P262" s="29">
        <f t="shared" si="6"/>
        <v>0.16082289338254407</v>
      </c>
      <c r="Q262" s="29">
        <f t="shared" si="7"/>
        <v>0.16117723855037189</v>
      </c>
      <c r="R262" s="29">
        <f t="shared" si="8"/>
        <v>0.1641620359417868</v>
      </c>
      <c r="S262" s="29">
        <f t="shared" si="9"/>
        <v>0.17089851663034092</v>
      </c>
      <c r="T262" s="29">
        <f t="shared" si="10"/>
        <v>0.20009721060683749</v>
      </c>
      <c r="V262" s="225">
        <f t="shared" si="11"/>
        <v>105.60876098197433</v>
      </c>
      <c r="W262" s="225">
        <f t="shared" si="12"/>
        <v>138.10613988027259</v>
      </c>
      <c r="X262" s="225">
        <f t="shared" si="13"/>
        <v>144.26958558892434</v>
      </c>
      <c r="Y262" s="225">
        <f t="shared" si="14"/>
        <v>187.90077780336051</v>
      </c>
      <c r="Z262" s="56">
        <f t="shared" si="15"/>
        <v>0.77921581558401265</v>
      </c>
      <c r="AA262" s="2"/>
      <c r="AB262" s="2"/>
    </row>
    <row r="263" spans="1:30" ht="15.75">
      <c r="B263" s="17">
        <f>SUM(B254:B262)-B260</f>
        <v>514.245</v>
      </c>
      <c r="C263" s="17"/>
      <c r="D263" s="17">
        <f>SUM(D254:D262)-D260</f>
        <v>615.58399999999995</v>
      </c>
      <c r="E263" s="123">
        <f t="shared" si="0"/>
        <v>0.19706365642835602</v>
      </c>
      <c r="F263" s="17">
        <f>SUM(F254:F262)-F260</f>
        <v>645.25240000000008</v>
      </c>
      <c r="G263" s="123">
        <f t="shared" si="1"/>
        <v>0.2547567793561436</v>
      </c>
      <c r="H263" s="17">
        <f>SUM(H254:H262)-H260</f>
        <v>663.97811999999988</v>
      </c>
      <c r="I263" s="123">
        <f t="shared" si="2"/>
        <v>0.29117078435376109</v>
      </c>
      <c r="J263" s="17">
        <f>SUM(J254:J262)-J260</f>
        <v>678.7654</v>
      </c>
      <c r="K263" s="29">
        <f t="shared" si="3"/>
        <v>0.31992610526111093</v>
      </c>
      <c r="L263" s="17">
        <f>SUM(L254:L262)-L260</f>
        <v>709.65507000000002</v>
      </c>
      <c r="M263" s="29">
        <f t="shared" si="4"/>
        <v>0.37999410786687282</v>
      </c>
      <c r="N263" s="123"/>
      <c r="O263" s="123">
        <f t="shared" si="5"/>
        <v>1</v>
      </c>
      <c r="P263" s="123">
        <f t="shared" si="6"/>
        <v>1</v>
      </c>
      <c r="Q263" s="123">
        <f t="shared" si="7"/>
        <v>1</v>
      </c>
      <c r="R263" s="123">
        <f t="shared" si="8"/>
        <v>1</v>
      </c>
      <c r="S263" s="29">
        <f t="shared" si="9"/>
        <v>1</v>
      </c>
      <c r="T263" s="29">
        <f t="shared" si="10"/>
        <v>1</v>
      </c>
      <c r="V263" s="225">
        <f t="shared" si="11"/>
        <v>687.45287710348589</v>
      </c>
      <c r="W263" s="225">
        <f t="shared" si="12"/>
        <v>856.85882896616943</v>
      </c>
      <c r="X263" s="225">
        <f t="shared" si="13"/>
        <v>878.82429552764268</v>
      </c>
      <c r="Y263" s="225">
        <f t="shared" si="14"/>
        <v>939.04746214857926</v>
      </c>
      <c r="Z263" s="56">
        <f t="shared" si="15"/>
        <v>0.36598084526922348</v>
      </c>
      <c r="AA263" s="2"/>
      <c r="AB263" s="2"/>
    </row>
    <row r="264" spans="1:30">
      <c r="V264" s="225"/>
      <c r="W264" s="225"/>
      <c r="X264" s="225"/>
      <c r="Y264" s="225"/>
      <c r="Z264" s="56"/>
      <c r="AA264" s="2"/>
      <c r="AB264" s="2"/>
    </row>
    <row r="265" spans="1:30">
      <c r="E265" s="41" t="s">
        <v>181</v>
      </c>
      <c r="G265" s="41" t="s">
        <v>514</v>
      </c>
      <c r="H265" s="41"/>
      <c r="I265" s="256" t="s">
        <v>689</v>
      </c>
      <c r="J265" s="301"/>
      <c r="K265" s="307" t="s">
        <v>823</v>
      </c>
      <c r="L265" s="301"/>
      <c r="M265" s="307" t="s">
        <v>824</v>
      </c>
      <c r="N265" s="301"/>
      <c r="V265" s="225"/>
      <c r="W265" s="225"/>
      <c r="X265" s="225"/>
      <c r="Y265" s="225"/>
      <c r="Z265" s="56"/>
      <c r="AA265" s="2"/>
      <c r="AB265" s="2"/>
    </row>
    <row r="266" spans="1:30" ht="25.5">
      <c r="A266" s="130" t="s">
        <v>504</v>
      </c>
      <c r="B266" s="9">
        <f>B260</f>
        <v>55.234999999999999</v>
      </c>
      <c r="D266" s="9">
        <f>D260</f>
        <v>62.605000000000004</v>
      </c>
      <c r="E266" s="29">
        <f t="shared" si="0"/>
        <v>0.13342989046800044</v>
      </c>
      <c r="F266" s="9">
        <f>F260</f>
        <v>63.063599999999994</v>
      </c>
      <c r="G266" s="29">
        <f>(F266-B266)/B266</f>
        <v>0.14173259708518141</v>
      </c>
      <c r="H266" s="9">
        <f>H260</f>
        <v>63.491999999999997</v>
      </c>
      <c r="I266" s="29">
        <f>(H266-B266)/B266</f>
        <v>0.14948854892731053</v>
      </c>
      <c r="J266" s="9">
        <f t="shared" ref="J266" si="16">J260</f>
        <v>64.966839999999991</v>
      </c>
      <c r="K266" s="29">
        <f>(J266-B266)/B266</f>
        <v>0.17618973476962055</v>
      </c>
      <c r="L266" s="9">
        <f t="shared" ref="L266" si="17">L260</f>
        <v>67.479320000000001</v>
      </c>
      <c r="M266" s="29">
        <f>(L266-B266)/B266</f>
        <v>0.22167683533991134</v>
      </c>
      <c r="N266" s="29"/>
      <c r="V266" s="225">
        <f t="shared" si="11"/>
        <v>73.839239403029765</v>
      </c>
      <c r="W266" s="225">
        <f t="shared" si="12"/>
        <v>83.744907336091899</v>
      </c>
      <c r="X266" s="225">
        <f t="shared" si="13"/>
        <v>84.036371818458562</v>
      </c>
      <c r="Y266" s="225">
        <f t="shared" si="14"/>
        <v>89.29166699747789</v>
      </c>
      <c r="Z266" s="56">
        <f t="shared" si="15"/>
        <v>0.20927121838438226</v>
      </c>
      <c r="AA266" s="2"/>
      <c r="AB266" s="2"/>
    </row>
    <row r="267" spans="1:30">
      <c r="A267" s="2" t="s">
        <v>373</v>
      </c>
      <c r="B267" s="9">
        <f>B263</f>
        <v>514.245</v>
      </c>
      <c r="D267" s="9">
        <f>D263</f>
        <v>615.58399999999995</v>
      </c>
      <c r="E267" s="29">
        <f t="shared" si="0"/>
        <v>0.19706365642835602</v>
      </c>
      <c r="F267" s="9">
        <f>F263</f>
        <v>645.25240000000008</v>
      </c>
      <c r="G267" s="29">
        <f>(F267-B267)/B267</f>
        <v>0.2547567793561436</v>
      </c>
      <c r="H267" s="9">
        <f>H263</f>
        <v>663.97811999999988</v>
      </c>
      <c r="I267" s="29">
        <f>(H267-B267)/B267</f>
        <v>0.29117078435376109</v>
      </c>
      <c r="J267" s="9">
        <f t="shared" ref="J267" si="18">J263</f>
        <v>678.7654</v>
      </c>
      <c r="K267" s="29">
        <f t="shared" ref="K267:K268" si="19">(J267-B267)/B267</f>
        <v>0.31992610526111093</v>
      </c>
      <c r="L267" s="9">
        <f t="shared" ref="L267" si="20">L263</f>
        <v>709.65507000000002</v>
      </c>
      <c r="M267" s="29">
        <f t="shared" ref="M267:M268" si="21">(L267-B267)/B267</f>
        <v>0.37999410786687282</v>
      </c>
      <c r="N267" s="29"/>
      <c r="V267" s="225">
        <f t="shared" si="11"/>
        <v>687.45287710348589</v>
      </c>
      <c r="W267" s="225">
        <f t="shared" si="12"/>
        <v>856.85882896616943</v>
      </c>
      <c r="X267" s="225">
        <f t="shared" si="13"/>
        <v>878.82429552764268</v>
      </c>
      <c r="Y267" s="225">
        <f t="shared" si="14"/>
        <v>939.04746214857926</v>
      </c>
      <c r="Z267" s="56">
        <f t="shared" si="15"/>
        <v>0.36598084526922348</v>
      </c>
      <c r="AA267" s="2"/>
      <c r="AB267" s="2"/>
    </row>
    <row r="268" spans="1:30" ht="25.5">
      <c r="A268" s="130" t="s">
        <v>502</v>
      </c>
      <c r="B268" s="9">
        <f>B267-B266</f>
        <v>459.01</v>
      </c>
      <c r="D268" s="9">
        <f>D267-D266</f>
        <v>552.97899999999993</v>
      </c>
      <c r="E268" s="29">
        <f t="shared" si="0"/>
        <v>0.20472103004291833</v>
      </c>
      <c r="F268" s="9">
        <f>F267-F266</f>
        <v>582.18880000000013</v>
      </c>
      <c r="G268" s="29">
        <f>(F268-B268)/B268</f>
        <v>0.26835755212304774</v>
      </c>
      <c r="H268" s="9">
        <f>H267-H266</f>
        <v>600.48611999999991</v>
      </c>
      <c r="I268" s="29">
        <f>(H268-B268)/B268</f>
        <v>0.30822012592318232</v>
      </c>
      <c r="J268" s="9">
        <f t="shared" ref="J268" si="22">J267-J266</f>
        <v>613.79855999999995</v>
      </c>
      <c r="K268" s="29">
        <f t="shared" si="19"/>
        <v>0.33722263131522179</v>
      </c>
      <c r="L268" s="9">
        <f t="shared" ref="L268" si="23">L267-L266</f>
        <v>642.17574999999999</v>
      </c>
      <c r="M268" s="29">
        <f t="shared" si="21"/>
        <v>0.39904522777281543</v>
      </c>
      <c r="N268" s="29"/>
      <c r="V268" s="225">
        <f t="shared" si="11"/>
        <v>613.61363770045614</v>
      </c>
      <c r="W268" s="225">
        <f t="shared" si="12"/>
        <v>773.11392163007758</v>
      </c>
      <c r="X268" s="225">
        <f t="shared" si="13"/>
        <v>794.78792370918416</v>
      </c>
      <c r="Y268" s="225">
        <f t="shared" si="14"/>
        <v>849.75579515110132</v>
      </c>
      <c r="Z268" s="56">
        <f t="shared" si="15"/>
        <v>0.38483850902596983</v>
      </c>
      <c r="AA268" s="2"/>
      <c r="AB268" s="2"/>
    </row>
    <row r="271" spans="1:30">
      <c r="A271" s="52" t="s">
        <v>441</v>
      </c>
    </row>
    <row r="272" spans="1:30">
      <c r="A272" s="52" t="s">
        <v>541</v>
      </c>
    </row>
    <row r="273" spans="1:6">
      <c r="A273" s="106" t="s">
        <v>664</v>
      </c>
      <c r="B273" s="39"/>
      <c r="C273" s="39"/>
      <c r="D273" s="39"/>
      <c r="E273" s="39"/>
      <c r="F273" s="39"/>
    </row>
    <row r="274" spans="1:6">
      <c r="A274" s="52" t="s">
        <v>760</v>
      </c>
    </row>
    <row r="275" spans="1:6">
      <c r="A275" s="52" t="s">
        <v>773</v>
      </c>
    </row>
    <row r="276" spans="1:6">
      <c r="A276" s="149" t="s">
        <v>817</v>
      </c>
      <c r="B276" s="136"/>
      <c r="C276" s="136"/>
    </row>
  </sheetData>
  <mergeCells count="2">
    <mergeCell ref="E139:P139"/>
    <mergeCell ref="Z252:AB252"/>
  </mergeCells>
  <hyperlinks>
    <hyperlink ref="V18" r:id="rId1"/>
    <hyperlink ref="V59" r:id="rId2"/>
    <hyperlink ref="U100" r:id="rId3"/>
    <hyperlink ref="U106" r:id="rId4"/>
    <hyperlink ref="U151" r:id="rId5"/>
  </hyperlinks>
  <pageMargins left="0.70866141732283472" right="0.70866141732283472" top="0.74803149606299213" bottom="0.74803149606299213" header="0.31496062992125984" footer="0.31496062992125984"/>
  <pageSetup scale="85" fitToWidth="2" fitToHeight="2" orientation="landscape" verticalDpi="0" r:id="rId6"/>
</worksheet>
</file>

<file path=xl/worksheets/sheet36.xml><?xml version="1.0" encoding="utf-8"?>
<worksheet xmlns="http://schemas.openxmlformats.org/spreadsheetml/2006/main" xmlns:r="http://schemas.openxmlformats.org/officeDocument/2006/relationships">
  <sheetPr>
    <tabColor rgb="FFFF0000"/>
    <pageSetUpPr fitToPage="1"/>
  </sheetPr>
  <dimension ref="A1:AE290"/>
  <sheetViews>
    <sheetView topLeftCell="A256" workbookViewId="0">
      <selection activeCell="A264" sqref="A264:L274"/>
    </sheetView>
  </sheetViews>
  <sheetFormatPr defaultRowHeight="12.75"/>
  <cols>
    <col min="1" max="1" width="35.42578125" customWidth="1"/>
    <col min="2" max="2" width="10.140625" customWidth="1"/>
    <col min="3" max="3" width="2.7109375" customWidth="1"/>
    <col min="4" max="4" width="14" customWidth="1"/>
    <col min="5" max="7" width="9.28515625" bestFit="1" customWidth="1"/>
    <col min="8" max="8" width="10.42578125" bestFit="1" customWidth="1"/>
    <col min="9" max="9" width="9.28515625" bestFit="1" customWidth="1"/>
    <col min="10" max="14" width="9.28515625" customWidth="1"/>
    <col min="15" max="18" width="9.28515625" bestFit="1" customWidth="1"/>
    <col min="19" max="19" width="9.28515625" customWidth="1"/>
    <col min="21" max="21" width="10" customWidth="1"/>
    <col min="267" max="267" width="35.42578125" customWidth="1"/>
    <col min="268" max="268" width="10.140625" customWidth="1"/>
    <col min="269" max="269" width="14" customWidth="1"/>
    <col min="270" max="270" width="10.140625" customWidth="1"/>
    <col min="271" max="271" width="14" customWidth="1"/>
    <col min="279" max="279" width="10" customWidth="1"/>
    <col min="523" max="523" width="35.42578125" customWidth="1"/>
    <col min="524" max="524" width="10.140625" customWidth="1"/>
    <col min="525" max="525" width="14" customWidth="1"/>
    <col min="526" max="526" width="10.140625" customWidth="1"/>
    <col min="527" max="527" width="14" customWidth="1"/>
    <col min="535" max="535" width="10" customWidth="1"/>
    <col min="779" max="779" width="35.42578125" customWidth="1"/>
    <col min="780" max="780" width="10.140625" customWidth="1"/>
    <col min="781" max="781" width="14" customWidth="1"/>
    <col min="782" max="782" width="10.140625" customWidth="1"/>
    <col min="783" max="783" width="14" customWidth="1"/>
    <col min="791" max="791" width="10" customWidth="1"/>
    <col min="1035" max="1035" width="35.42578125" customWidth="1"/>
    <col min="1036" max="1036" width="10.140625" customWidth="1"/>
    <col min="1037" max="1037" width="14" customWidth="1"/>
    <col min="1038" max="1038" width="10.140625" customWidth="1"/>
    <col min="1039" max="1039" width="14" customWidth="1"/>
    <col min="1047" max="1047" width="10" customWidth="1"/>
    <col min="1291" max="1291" width="35.42578125" customWidth="1"/>
    <col min="1292" max="1292" width="10.140625" customWidth="1"/>
    <col min="1293" max="1293" width="14" customWidth="1"/>
    <col min="1294" max="1294" width="10.140625" customWidth="1"/>
    <col min="1295" max="1295" width="14" customWidth="1"/>
    <col min="1303" max="1303" width="10" customWidth="1"/>
    <col min="1547" max="1547" width="35.42578125" customWidth="1"/>
    <col min="1548" max="1548" width="10.140625" customWidth="1"/>
    <col min="1549" max="1549" width="14" customWidth="1"/>
    <col min="1550" max="1550" width="10.140625" customWidth="1"/>
    <col min="1551" max="1551" width="14" customWidth="1"/>
    <col min="1559" max="1559" width="10" customWidth="1"/>
    <col min="1803" max="1803" width="35.42578125" customWidth="1"/>
    <col min="1804" max="1804" width="10.140625" customWidth="1"/>
    <col min="1805" max="1805" width="14" customWidth="1"/>
    <col min="1806" max="1806" width="10.140625" customWidth="1"/>
    <col min="1807" max="1807" width="14" customWidth="1"/>
    <col min="1815" max="1815" width="10" customWidth="1"/>
    <col min="2059" max="2059" width="35.42578125" customWidth="1"/>
    <col min="2060" max="2060" width="10.140625" customWidth="1"/>
    <col min="2061" max="2061" width="14" customWidth="1"/>
    <col min="2062" max="2062" width="10.140625" customWidth="1"/>
    <col min="2063" max="2063" width="14" customWidth="1"/>
    <col min="2071" max="2071" width="10" customWidth="1"/>
    <col min="2315" max="2315" width="35.42578125" customWidth="1"/>
    <col min="2316" max="2316" width="10.140625" customWidth="1"/>
    <col min="2317" max="2317" width="14" customWidth="1"/>
    <col min="2318" max="2318" width="10.140625" customWidth="1"/>
    <col min="2319" max="2319" width="14" customWidth="1"/>
    <col min="2327" max="2327" width="10" customWidth="1"/>
    <col min="2571" max="2571" width="35.42578125" customWidth="1"/>
    <col min="2572" max="2572" width="10.140625" customWidth="1"/>
    <col min="2573" max="2573" width="14" customWidth="1"/>
    <col min="2574" max="2574" width="10.140625" customWidth="1"/>
    <col min="2575" max="2575" width="14" customWidth="1"/>
    <col min="2583" max="2583" width="10" customWidth="1"/>
    <col min="2827" max="2827" width="35.42578125" customWidth="1"/>
    <col min="2828" max="2828" width="10.140625" customWidth="1"/>
    <col min="2829" max="2829" width="14" customWidth="1"/>
    <col min="2830" max="2830" width="10.140625" customWidth="1"/>
    <col min="2831" max="2831" width="14" customWidth="1"/>
    <col min="2839" max="2839" width="10" customWidth="1"/>
    <col min="3083" max="3083" width="35.42578125" customWidth="1"/>
    <col min="3084" max="3084" width="10.140625" customWidth="1"/>
    <col min="3085" max="3085" width="14" customWidth="1"/>
    <col min="3086" max="3086" width="10.140625" customWidth="1"/>
    <col min="3087" max="3087" width="14" customWidth="1"/>
    <col min="3095" max="3095" width="10" customWidth="1"/>
    <col min="3339" max="3339" width="35.42578125" customWidth="1"/>
    <col min="3340" max="3340" width="10.140625" customWidth="1"/>
    <col min="3341" max="3341" width="14" customWidth="1"/>
    <col min="3342" max="3342" width="10.140625" customWidth="1"/>
    <col min="3343" max="3343" width="14" customWidth="1"/>
    <col min="3351" max="3351" width="10" customWidth="1"/>
    <col min="3595" max="3595" width="35.42578125" customWidth="1"/>
    <col min="3596" max="3596" width="10.140625" customWidth="1"/>
    <col min="3597" max="3597" width="14" customWidth="1"/>
    <col min="3598" max="3598" width="10.140625" customWidth="1"/>
    <col min="3599" max="3599" width="14" customWidth="1"/>
    <col min="3607" max="3607" width="10" customWidth="1"/>
    <col min="3851" max="3851" width="35.42578125" customWidth="1"/>
    <col min="3852" max="3852" width="10.140625" customWidth="1"/>
    <col min="3853" max="3853" width="14" customWidth="1"/>
    <col min="3854" max="3854" width="10.140625" customWidth="1"/>
    <col min="3855" max="3855" width="14" customWidth="1"/>
    <col min="3863" max="3863" width="10" customWidth="1"/>
    <col min="4107" max="4107" width="35.42578125" customWidth="1"/>
    <col min="4108" max="4108" width="10.140625" customWidth="1"/>
    <col min="4109" max="4109" width="14" customWidth="1"/>
    <col min="4110" max="4110" width="10.140625" customWidth="1"/>
    <col min="4111" max="4111" width="14" customWidth="1"/>
    <col min="4119" max="4119" width="10" customWidth="1"/>
    <col min="4363" max="4363" width="35.42578125" customWidth="1"/>
    <col min="4364" max="4364" width="10.140625" customWidth="1"/>
    <col min="4365" max="4365" width="14" customWidth="1"/>
    <col min="4366" max="4366" width="10.140625" customWidth="1"/>
    <col min="4367" max="4367" width="14" customWidth="1"/>
    <col min="4375" max="4375" width="10" customWidth="1"/>
    <col min="4619" max="4619" width="35.42578125" customWidth="1"/>
    <col min="4620" max="4620" width="10.140625" customWidth="1"/>
    <col min="4621" max="4621" width="14" customWidth="1"/>
    <col min="4622" max="4622" width="10.140625" customWidth="1"/>
    <col min="4623" max="4623" width="14" customWidth="1"/>
    <col min="4631" max="4631" width="10" customWidth="1"/>
    <col min="4875" max="4875" width="35.42578125" customWidth="1"/>
    <col min="4876" max="4876" width="10.140625" customWidth="1"/>
    <col min="4877" max="4877" width="14" customWidth="1"/>
    <col min="4878" max="4878" width="10.140625" customWidth="1"/>
    <col min="4879" max="4879" width="14" customWidth="1"/>
    <col min="4887" max="4887" width="10" customWidth="1"/>
    <col min="5131" max="5131" width="35.42578125" customWidth="1"/>
    <col min="5132" max="5132" width="10.140625" customWidth="1"/>
    <col min="5133" max="5133" width="14" customWidth="1"/>
    <col min="5134" max="5134" width="10.140625" customWidth="1"/>
    <col min="5135" max="5135" width="14" customWidth="1"/>
    <col min="5143" max="5143" width="10" customWidth="1"/>
    <col min="5387" max="5387" width="35.42578125" customWidth="1"/>
    <col min="5388" max="5388" width="10.140625" customWidth="1"/>
    <col min="5389" max="5389" width="14" customWidth="1"/>
    <col min="5390" max="5390" width="10.140625" customWidth="1"/>
    <col min="5391" max="5391" width="14" customWidth="1"/>
    <col min="5399" max="5399" width="10" customWidth="1"/>
    <col min="5643" max="5643" width="35.42578125" customWidth="1"/>
    <col min="5644" max="5644" width="10.140625" customWidth="1"/>
    <col min="5645" max="5645" width="14" customWidth="1"/>
    <col min="5646" max="5646" width="10.140625" customWidth="1"/>
    <col min="5647" max="5647" width="14" customWidth="1"/>
    <col min="5655" max="5655" width="10" customWidth="1"/>
    <col min="5899" max="5899" width="35.42578125" customWidth="1"/>
    <col min="5900" max="5900" width="10.140625" customWidth="1"/>
    <col min="5901" max="5901" width="14" customWidth="1"/>
    <col min="5902" max="5902" width="10.140625" customWidth="1"/>
    <col min="5903" max="5903" width="14" customWidth="1"/>
    <col min="5911" max="5911" width="10" customWidth="1"/>
    <col min="6155" max="6155" width="35.42578125" customWidth="1"/>
    <col min="6156" max="6156" width="10.140625" customWidth="1"/>
    <col min="6157" max="6157" width="14" customWidth="1"/>
    <col min="6158" max="6158" width="10.140625" customWidth="1"/>
    <col min="6159" max="6159" width="14" customWidth="1"/>
    <col min="6167" max="6167" width="10" customWidth="1"/>
    <col min="6411" max="6411" width="35.42578125" customWidth="1"/>
    <col min="6412" max="6412" width="10.140625" customWidth="1"/>
    <col min="6413" max="6413" width="14" customWidth="1"/>
    <col min="6414" max="6414" width="10.140625" customWidth="1"/>
    <col min="6415" max="6415" width="14" customWidth="1"/>
    <col min="6423" max="6423" width="10" customWidth="1"/>
    <col min="6667" max="6667" width="35.42578125" customWidth="1"/>
    <col min="6668" max="6668" width="10.140625" customWidth="1"/>
    <col min="6669" max="6669" width="14" customWidth="1"/>
    <col min="6670" max="6670" width="10.140625" customWidth="1"/>
    <col min="6671" max="6671" width="14" customWidth="1"/>
    <col min="6679" max="6679" width="10" customWidth="1"/>
    <col min="6923" max="6923" width="35.42578125" customWidth="1"/>
    <col min="6924" max="6924" width="10.140625" customWidth="1"/>
    <col min="6925" max="6925" width="14" customWidth="1"/>
    <col min="6926" max="6926" width="10.140625" customWidth="1"/>
    <col min="6927" max="6927" width="14" customWidth="1"/>
    <col min="6935" max="6935" width="10" customWidth="1"/>
    <col min="7179" max="7179" width="35.42578125" customWidth="1"/>
    <col min="7180" max="7180" width="10.140625" customWidth="1"/>
    <col min="7181" max="7181" width="14" customWidth="1"/>
    <col min="7182" max="7182" width="10.140625" customWidth="1"/>
    <col min="7183" max="7183" width="14" customWidth="1"/>
    <col min="7191" max="7191" width="10" customWidth="1"/>
    <col min="7435" max="7435" width="35.42578125" customWidth="1"/>
    <col min="7436" max="7436" width="10.140625" customWidth="1"/>
    <col min="7437" max="7437" width="14" customWidth="1"/>
    <col min="7438" max="7438" width="10.140625" customWidth="1"/>
    <col min="7439" max="7439" width="14" customWidth="1"/>
    <col min="7447" max="7447" width="10" customWidth="1"/>
    <col min="7691" max="7691" width="35.42578125" customWidth="1"/>
    <col min="7692" max="7692" width="10.140625" customWidth="1"/>
    <col min="7693" max="7693" width="14" customWidth="1"/>
    <col min="7694" max="7694" width="10.140625" customWidth="1"/>
    <col min="7695" max="7695" width="14" customWidth="1"/>
    <col min="7703" max="7703" width="10" customWidth="1"/>
    <col min="7947" max="7947" width="35.42578125" customWidth="1"/>
    <col min="7948" max="7948" width="10.140625" customWidth="1"/>
    <col min="7949" max="7949" width="14" customWidth="1"/>
    <col min="7950" max="7950" width="10.140625" customWidth="1"/>
    <col min="7951" max="7951" width="14" customWidth="1"/>
    <col min="7959" max="7959" width="10" customWidth="1"/>
    <col min="8203" max="8203" width="35.42578125" customWidth="1"/>
    <col min="8204" max="8204" width="10.140625" customWidth="1"/>
    <col min="8205" max="8205" width="14" customWidth="1"/>
    <col min="8206" max="8206" width="10.140625" customWidth="1"/>
    <col min="8207" max="8207" width="14" customWidth="1"/>
    <col min="8215" max="8215" width="10" customWidth="1"/>
    <col min="8459" max="8459" width="35.42578125" customWidth="1"/>
    <col min="8460" max="8460" width="10.140625" customWidth="1"/>
    <col min="8461" max="8461" width="14" customWidth="1"/>
    <col min="8462" max="8462" width="10.140625" customWidth="1"/>
    <col min="8463" max="8463" width="14" customWidth="1"/>
    <col min="8471" max="8471" width="10" customWidth="1"/>
    <col min="8715" max="8715" width="35.42578125" customWidth="1"/>
    <col min="8716" max="8716" width="10.140625" customWidth="1"/>
    <col min="8717" max="8717" width="14" customWidth="1"/>
    <col min="8718" max="8718" width="10.140625" customWidth="1"/>
    <col min="8719" max="8719" width="14" customWidth="1"/>
    <col min="8727" max="8727" width="10" customWidth="1"/>
    <col min="8971" max="8971" width="35.42578125" customWidth="1"/>
    <col min="8972" max="8972" width="10.140625" customWidth="1"/>
    <col min="8973" max="8973" width="14" customWidth="1"/>
    <col min="8974" max="8974" width="10.140625" customWidth="1"/>
    <col min="8975" max="8975" width="14" customWidth="1"/>
    <col min="8983" max="8983" width="10" customWidth="1"/>
    <col min="9227" max="9227" width="35.42578125" customWidth="1"/>
    <col min="9228" max="9228" width="10.140625" customWidth="1"/>
    <col min="9229" max="9229" width="14" customWidth="1"/>
    <col min="9230" max="9230" width="10.140625" customWidth="1"/>
    <col min="9231" max="9231" width="14" customWidth="1"/>
    <col min="9239" max="9239" width="10" customWidth="1"/>
    <col min="9483" max="9483" width="35.42578125" customWidth="1"/>
    <col min="9484" max="9484" width="10.140625" customWidth="1"/>
    <col min="9485" max="9485" width="14" customWidth="1"/>
    <col min="9486" max="9486" width="10.140625" customWidth="1"/>
    <col min="9487" max="9487" width="14" customWidth="1"/>
    <col min="9495" max="9495" width="10" customWidth="1"/>
    <col min="9739" max="9739" width="35.42578125" customWidth="1"/>
    <col min="9740" max="9740" width="10.140625" customWidth="1"/>
    <col min="9741" max="9741" width="14" customWidth="1"/>
    <col min="9742" max="9742" width="10.140625" customWidth="1"/>
    <col min="9743" max="9743" width="14" customWidth="1"/>
    <col min="9751" max="9751" width="10" customWidth="1"/>
    <col min="9995" max="9995" width="35.42578125" customWidth="1"/>
    <col min="9996" max="9996" width="10.140625" customWidth="1"/>
    <col min="9997" max="9997" width="14" customWidth="1"/>
    <col min="9998" max="9998" width="10.140625" customWidth="1"/>
    <col min="9999" max="9999" width="14" customWidth="1"/>
    <col min="10007" max="10007" width="10" customWidth="1"/>
    <col min="10251" max="10251" width="35.42578125" customWidth="1"/>
    <col min="10252" max="10252" width="10.140625" customWidth="1"/>
    <col min="10253" max="10253" width="14" customWidth="1"/>
    <col min="10254" max="10254" width="10.140625" customWidth="1"/>
    <col min="10255" max="10255" width="14" customWidth="1"/>
    <col min="10263" max="10263" width="10" customWidth="1"/>
    <col min="10507" max="10507" width="35.42578125" customWidth="1"/>
    <col min="10508" max="10508" width="10.140625" customWidth="1"/>
    <col min="10509" max="10509" width="14" customWidth="1"/>
    <col min="10510" max="10510" width="10.140625" customWidth="1"/>
    <col min="10511" max="10511" width="14" customWidth="1"/>
    <col min="10519" max="10519" width="10" customWidth="1"/>
    <col min="10763" max="10763" width="35.42578125" customWidth="1"/>
    <col min="10764" max="10764" width="10.140625" customWidth="1"/>
    <col min="10765" max="10765" width="14" customWidth="1"/>
    <col min="10766" max="10766" width="10.140625" customWidth="1"/>
    <col min="10767" max="10767" width="14" customWidth="1"/>
    <col min="10775" max="10775" width="10" customWidth="1"/>
    <col min="11019" max="11019" width="35.42578125" customWidth="1"/>
    <col min="11020" max="11020" width="10.140625" customWidth="1"/>
    <col min="11021" max="11021" width="14" customWidth="1"/>
    <col min="11022" max="11022" width="10.140625" customWidth="1"/>
    <col min="11023" max="11023" width="14" customWidth="1"/>
    <col min="11031" max="11031" width="10" customWidth="1"/>
    <col min="11275" max="11275" width="35.42578125" customWidth="1"/>
    <col min="11276" max="11276" width="10.140625" customWidth="1"/>
    <col min="11277" max="11277" width="14" customWidth="1"/>
    <col min="11278" max="11278" width="10.140625" customWidth="1"/>
    <col min="11279" max="11279" width="14" customWidth="1"/>
    <col min="11287" max="11287" width="10" customWidth="1"/>
    <col min="11531" max="11531" width="35.42578125" customWidth="1"/>
    <col min="11532" max="11532" width="10.140625" customWidth="1"/>
    <col min="11533" max="11533" width="14" customWidth="1"/>
    <col min="11534" max="11534" width="10.140625" customWidth="1"/>
    <col min="11535" max="11535" width="14" customWidth="1"/>
    <col min="11543" max="11543" width="10" customWidth="1"/>
    <col min="11787" max="11787" width="35.42578125" customWidth="1"/>
    <col min="11788" max="11788" width="10.140625" customWidth="1"/>
    <col min="11789" max="11789" width="14" customWidth="1"/>
    <col min="11790" max="11790" width="10.140625" customWidth="1"/>
    <col min="11791" max="11791" width="14" customWidth="1"/>
    <col min="11799" max="11799" width="10" customWidth="1"/>
    <col min="12043" max="12043" width="35.42578125" customWidth="1"/>
    <col min="12044" max="12044" width="10.140625" customWidth="1"/>
    <col min="12045" max="12045" width="14" customWidth="1"/>
    <col min="12046" max="12046" width="10.140625" customWidth="1"/>
    <col min="12047" max="12047" width="14" customWidth="1"/>
    <col min="12055" max="12055" width="10" customWidth="1"/>
    <col min="12299" max="12299" width="35.42578125" customWidth="1"/>
    <col min="12300" max="12300" width="10.140625" customWidth="1"/>
    <col min="12301" max="12301" width="14" customWidth="1"/>
    <col min="12302" max="12302" width="10.140625" customWidth="1"/>
    <col min="12303" max="12303" width="14" customWidth="1"/>
    <col min="12311" max="12311" width="10" customWidth="1"/>
    <col min="12555" max="12555" width="35.42578125" customWidth="1"/>
    <col min="12556" max="12556" width="10.140625" customWidth="1"/>
    <col min="12557" max="12557" width="14" customWidth="1"/>
    <col min="12558" max="12558" width="10.140625" customWidth="1"/>
    <col min="12559" max="12559" width="14" customWidth="1"/>
    <col min="12567" max="12567" width="10" customWidth="1"/>
    <col min="12811" max="12811" width="35.42578125" customWidth="1"/>
    <col min="12812" max="12812" width="10.140625" customWidth="1"/>
    <col min="12813" max="12813" width="14" customWidth="1"/>
    <col min="12814" max="12814" width="10.140625" customWidth="1"/>
    <col min="12815" max="12815" width="14" customWidth="1"/>
    <col min="12823" max="12823" width="10" customWidth="1"/>
    <col min="13067" max="13067" width="35.42578125" customWidth="1"/>
    <col min="13068" max="13068" width="10.140625" customWidth="1"/>
    <col min="13069" max="13069" width="14" customWidth="1"/>
    <col min="13070" max="13070" width="10.140625" customWidth="1"/>
    <col min="13071" max="13071" width="14" customWidth="1"/>
    <col min="13079" max="13079" width="10" customWidth="1"/>
    <col min="13323" max="13323" width="35.42578125" customWidth="1"/>
    <col min="13324" max="13324" width="10.140625" customWidth="1"/>
    <col min="13325" max="13325" width="14" customWidth="1"/>
    <col min="13326" max="13326" width="10.140625" customWidth="1"/>
    <col min="13327" max="13327" width="14" customWidth="1"/>
    <col min="13335" max="13335" width="10" customWidth="1"/>
    <col min="13579" max="13579" width="35.42578125" customWidth="1"/>
    <col min="13580" max="13580" width="10.140625" customWidth="1"/>
    <col min="13581" max="13581" width="14" customWidth="1"/>
    <col min="13582" max="13582" width="10.140625" customWidth="1"/>
    <col min="13583" max="13583" width="14" customWidth="1"/>
    <col min="13591" max="13591" width="10" customWidth="1"/>
    <col min="13835" max="13835" width="35.42578125" customWidth="1"/>
    <col min="13836" max="13836" width="10.140625" customWidth="1"/>
    <col min="13837" max="13837" width="14" customWidth="1"/>
    <col min="13838" max="13838" width="10.140625" customWidth="1"/>
    <col min="13839" max="13839" width="14" customWidth="1"/>
    <col min="13847" max="13847" width="10" customWidth="1"/>
    <col min="14091" max="14091" width="35.42578125" customWidth="1"/>
    <col min="14092" max="14092" width="10.140625" customWidth="1"/>
    <col min="14093" max="14093" width="14" customWidth="1"/>
    <col min="14094" max="14094" width="10.140625" customWidth="1"/>
    <col min="14095" max="14095" width="14" customWidth="1"/>
    <col min="14103" max="14103" width="10" customWidth="1"/>
    <col min="14347" max="14347" width="35.42578125" customWidth="1"/>
    <col min="14348" max="14348" width="10.140625" customWidth="1"/>
    <col min="14349" max="14349" width="14" customWidth="1"/>
    <col min="14350" max="14350" width="10.140625" customWidth="1"/>
    <col min="14351" max="14351" width="14" customWidth="1"/>
    <col min="14359" max="14359" width="10" customWidth="1"/>
    <col min="14603" max="14603" width="35.42578125" customWidth="1"/>
    <col min="14604" max="14604" width="10.140625" customWidth="1"/>
    <col min="14605" max="14605" width="14" customWidth="1"/>
    <col min="14606" max="14606" width="10.140625" customWidth="1"/>
    <col min="14607" max="14607" width="14" customWidth="1"/>
    <col min="14615" max="14615" width="10" customWidth="1"/>
    <col min="14859" max="14859" width="35.42578125" customWidth="1"/>
    <col min="14860" max="14860" width="10.140625" customWidth="1"/>
    <col min="14861" max="14861" width="14" customWidth="1"/>
    <col min="14862" max="14862" width="10.140625" customWidth="1"/>
    <col min="14863" max="14863" width="14" customWidth="1"/>
    <col min="14871" max="14871" width="10" customWidth="1"/>
    <col min="15115" max="15115" width="35.42578125" customWidth="1"/>
    <col min="15116" max="15116" width="10.140625" customWidth="1"/>
    <col min="15117" max="15117" width="14" customWidth="1"/>
    <col min="15118" max="15118" width="10.140625" customWidth="1"/>
    <col min="15119" max="15119" width="14" customWidth="1"/>
    <col min="15127" max="15127" width="10" customWidth="1"/>
    <col min="15371" max="15371" width="35.42578125" customWidth="1"/>
    <col min="15372" max="15372" width="10.140625" customWidth="1"/>
    <col min="15373" max="15373" width="14" customWidth="1"/>
    <col min="15374" max="15374" width="10.140625" customWidth="1"/>
    <col min="15375" max="15375" width="14" customWidth="1"/>
    <col min="15383" max="15383" width="10" customWidth="1"/>
    <col min="15627" max="15627" width="35.42578125" customWidth="1"/>
    <col min="15628" max="15628" width="10.140625" customWidth="1"/>
    <col min="15629" max="15629" width="14" customWidth="1"/>
    <col min="15630" max="15630" width="10.140625" customWidth="1"/>
    <col min="15631" max="15631" width="14" customWidth="1"/>
    <col min="15639" max="15639" width="10" customWidth="1"/>
    <col min="15883" max="15883" width="35.42578125" customWidth="1"/>
    <col min="15884" max="15884" width="10.140625" customWidth="1"/>
    <col min="15885" max="15885" width="14" customWidth="1"/>
    <col min="15886" max="15886" width="10.140625" customWidth="1"/>
    <col min="15887" max="15887" width="14" customWidth="1"/>
    <col min="15895" max="15895" width="10" customWidth="1"/>
    <col min="16139" max="16139" width="35.42578125" customWidth="1"/>
    <col min="16140" max="16140" width="10.140625" customWidth="1"/>
    <col min="16141" max="16141" width="14" customWidth="1"/>
    <col min="16142" max="16142" width="10.140625" customWidth="1"/>
    <col min="16143" max="16143" width="14" customWidth="1"/>
    <col min="16151" max="16151" width="10" customWidth="1"/>
  </cols>
  <sheetData>
    <row r="1" spans="1:22">
      <c r="B1" s="41" t="s">
        <v>416</v>
      </c>
      <c r="C1" s="41"/>
    </row>
    <row r="2" spans="1:22">
      <c r="B2" s="41" t="s">
        <v>58</v>
      </c>
      <c r="C2" s="41"/>
    </row>
    <row r="3" spans="1:22">
      <c r="B3" s="41" t="s">
        <v>16</v>
      </c>
      <c r="C3" s="41"/>
      <c r="E3" s="2" t="s">
        <v>59</v>
      </c>
      <c r="U3" s="2"/>
      <c r="V3" s="2" t="s">
        <v>92</v>
      </c>
    </row>
    <row r="4" spans="1:22">
      <c r="A4" s="2" t="s">
        <v>11</v>
      </c>
      <c r="B4" s="106"/>
      <c r="C4" s="106"/>
    </row>
    <row r="5" spans="1:22">
      <c r="B5" s="106"/>
      <c r="C5" s="106"/>
    </row>
    <row r="6" spans="1:22">
      <c r="A6" t="s">
        <v>0</v>
      </c>
      <c r="B6" s="46">
        <f>'Disability $ details 05-06'!B6*0.235</f>
        <v>126.89999999999999</v>
      </c>
      <c r="C6" s="46"/>
      <c r="D6" s="22" t="s">
        <v>217</v>
      </c>
      <c r="E6" t="s">
        <v>354</v>
      </c>
      <c r="V6" s="38" t="s">
        <v>344</v>
      </c>
    </row>
    <row r="7" spans="1:22">
      <c r="A7" t="s">
        <v>1</v>
      </c>
      <c r="B7" s="46">
        <f>'Disability $ details 05-06'!B7*0.235</f>
        <v>205.625</v>
      </c>
      <c r="C7" s="46"/>
      <c r="D7" s="22" t="s">
        <v>217</v>
      </c>
      <c r="E7" t="s">
        <v>218</v>
      </c>
      <c r="Q7" t="s">
        <v>93</v>
      </c>
    </row>
    <row r="8" spans="1:22">
      <c r="A8" t="s">
        <v>14</v>
      </c>
      <c r="B8" s="46">
        <f>'Disability $ details 05-06'!B8*0.235</f>
        <v>19.974999999999998</v>
      </c>
      <c r="C8" s="46"/>
      <c r="D8" s="22" t="s">
        <v>217</v>
      </c>
      <c r="E8" t="s">
        <v>452</v>
      </c>
    </row>
    <row r="9" spans="1:22">
      <c r="A9" t="s">
        <v>2</v>
      </c>
      <c r="B9" s="46">
        <f>'Disability $ details 05-06'!B9*0.235</f>
        <v>1.1749999999999998</v>
      </c>
      <c r="C9" s="46"/>
      <c r="D9" s="22" t="s">
        <v>217</v>
      </c>
    </row>
    <row r="10" spans="1:22">
      <c r="A10" t="s">
        <v>68</v>
      </c>
      <c r="B10" s="46">
        <f>'Disability $ details 05-06'!B10*0.235</f>
        <v>0</v>
      </c>
      <c r="C10" s="46"/>
      <c r="D10" s="22" t="s">
        <v>217</v>
      </c>
    </row>
    <row r="11" spans="1:22">
      <c r="A11" t="s">
        <v>3</v>
      </c>
      <c r="B11" s="46">
        <f>'Disability $ details 05-06'!B11*0.235</f>
        <v>27.024999999999999</v>
      </c>
      <c r="C11" s="46"/>
      <c r="D11" s="22" t="s">
        <v>217</v>
      </c>
    </row>
    <row r="12" spans="1:22">
      <c r="A12" t="s">
        <v>15</v>
      </c>
      <c r="B12" s="46">
        <f>'Disability $ details 05-06'!B12*0.235</f>
        <v>21.15</v>
      </c>
      <c r="C12" s="46"/>
      <c r="D12" s="22" t="s">
        <v>217</v>
      </c>
      <c r="U12" s="7"/>
    </row>
    <row r="13" spans="1:22">
      <c r="A13" s="3" t="s">
        <v>24</v>
      </c>
      <c r="B13" s="104">
        <f>SUM(B6:B12)</f>
        <v>401.84999999999997</v>
      </c>
      <c r="C13" s="104"/>
      <c r="D13" s="22" t="s">
        <v>217</v>
      </c>
      <c r="U13" s="7"/>
    </row>
    <row r="14" spans="1:22">
      <c r="B14" s="46"/>
      <c r="C14" s="46"/>
      <c r="D14" s="22"/>
      <c r="U14" s="7"/>
    </row>
    <row r="15" spans="1:22">
      <c r="A15" s="2" t="s">
        <v>4</v>
      </c>
      <c r="B15" s="46"/>
      <c r="C15" s="46"/>
      <c r="D15" s="22"/>
      <c r="U15" s="7"/>
    </row>
    <row r="16" spans="1:22">
      <c r="A16" t="s">
        <v>5</v>
      </c>
      <c r="B16" s="46">
        <v>15</v>
      </c>
      <c r="C16" s="46"/>
      <c r="D16" s="22"/>
      <c r="E16" t="s">
        <v>438</v>
      </c>
      <c r="U16" s="7"/>
      <c r="V16" t="s">
        <v>220</v>
      </c>
    </row>
    <row r="17" spans="1:22">
      <c r="A17" t="s">
        <v>69</v>
      </c>
      <c r="B17" s="105">
        <f>'Disability $ details 05-06'!B17</f>
        <v>652.79999999999995</v>
      </c>
      <c r="C17" s="105"/>
      <c r="D17" s="22"/>
      <c r="E17" t="s">
        <v>483</v>
      </c>
      <c r="U17" s="7"/>
    </row>
    <row r="18" spans="1:22">
      <c r="A18" t="s">
        <v>6</v>
      </c>
      <c r="B18" s="46">
        <v>244.9</v>
      </c>
      <c r="C18" s="46"/>
      <c r="D18" s="22"/>
      <c r="E18" t="s">
        <v>316</v>
      </c>
      <c r="U18" s="7"/>
      <c r="V18" s="38" t="s">
        <v>72</v>
      </c>
    </row>
    <row r="19" spans="1:22">
      <c r="A19" s="3" t="s">
        <v>24</v>
      </c>
      <c r="B19" s="104">
        <f>SUM(B16:B18)</f>
        <v>912.69999999999993</v>
      </c>
      <c r="C19" s="104"/>
      <c r="D19" s="22"/>
      <c r="U19" s="7"/>
    </row>
    <row r="20" spans="1:22">
      <c r="B20" s="46"/>
      <c r="C20" s="46"/>
      <c r="D20" s="22"/>
      <c r="U20" s="7"/>
    </row>
    <row r="21" spans="1:22">
      <c r="A21" t="s">
        <v>101</v>
      </c>
      <c r="B21" s="46">
        <f>1656*0.123</f>
        <v>203.68799999999999</v>
      </c>
      <c r="C21" s="46" t="s">
        <v>437</v>
      </c>
      <c r="D21" s="22"/>
      <c r="E21" t="s">
        <v>333</v>
      </c>
      <c r="U21" s="7"/>
      <c r="V21" t="s">
        <v>102</v>
      </c>
    </row>
    <row r="22" spans="1:22">
      <c r="A22" s="3" t="s">
        <v>221</v>
      </c>
      <c r="B22" s="104">
        <f>SUM(B21)</f>
        <v>203.68799999999999</v>
      </c>
      <c r="C22" s="104"/>
      <c r="D22" s="22"/>
      <c r="E22" t="s">
        <v>427</v>
      </c>
      <c r="U22" s="7"/>
      <c r="V22" t="s">
        <v>103</v>
      </c>
    </row>
    <row r="23" spans="1:22">
      <c r="A23" s="3"/>
      <c r="B23" s="104"/>
      <c r="C23" s="104"/>
      <c r="D23" s="22"/>
      <c r="U23" s="7"/>
    </row>
    <row r="24" spans="1:22">
      <c r="A24" s="50" t="s">
        <v>334</v>
      </c>
      <c r="B24" s="46"/>
      <c r="C24" s="46"/>
      <c r="D24" s="247"/>
      <c r="E24" s="39"/>
      <c r="F24" s="39"/>
      <c r="G24" s="39"/>
      <c r="H24" s="39"/>
      <c r="I24" s="39"/>
      <c r="J24" s="39"/>
      <c r="K24" s="39"/>
      <c r="L24" s="39"/>
      <c r="M24" s="39"/>
      <c r="N24" s="39"/>
      <c r="O24" s="39"/>
      <c r="R24" s="9"/>
      <c r="S24" s="9"/>
      <c r="U24" s="7"/>
    </row>
    <row r="25" spans="1:22">
      <c r="A25" s="39" t="s">
        <v>335</v>
      </c>
      <c r="B25" s="46">
        <f>'SA by provi 05-06'!B13*0.44</f>
        <v>1180.2560000000001</v>
      </c>
      <c r="C25" s="46" t="s">
        <v>437</v>
      </c>
      <c r="D25" s="44"/>
      <c r="E25" s="150" t="s">
        <v>252</v>
      </c>
      <c r="F25" s="39"/>
      <c r="G25" s="39"/>
      <c r="H25" s="39"/>
      <c r="I25" s="39"/>
      <c r="J25" s="39"/>
      <c r="K25" s="39"/>
      <c r="L25" s="39"/>
      <c r="M25" s="39"/>
      <c r="N25" s="39"/>
      <c r="O25" s="39"/>
      <c r="U25" s="7"/>
      <c r="V25" s="75" t="s">
        <v>253</v>
      </c>
    </row>
    <row r="26" spans="1:22">
      <c r="A26" s="39"/>
      <c r="B26" s="46"/>
      <c r="C26" s="46"/>
      <c r="D26" s="44"/>
      <c r="E26" s="150" t="s">
        <v>451</v>
      </c>
      <c r="F26" s="39"/>
      <c r="G26" s="39"/>
      <c r="H26" s="39"/>
      <c r="I26" s="39"/>
      <c r="J26" s="39"/>
      <c r="K26" s="39"/>
      <c r="L26" s="39"/>
      <c r="M26" s="39"/>
      <c r="N26" s="39"/>
      <c r="O26" s="39"/>
      <c r="U26" s="7"/>
    </row>
    <row r="27" spans="1:22">
      <c r="A27" s="39" t="s">
        <v>12</v>
      </c>
      <c r="B27" s="46">
        <f>53.3*0.55</f>
        <v>29.315000000000001</v>
      </c>
      <c r="C27" s="46" t="s">
        <v>237</v>
      </c>
      <c r="D27" s="247"/>
      <c r="E27" s="39" t="s">
        <v>656</v>
      </c>
      <c r="F27" s="39"/>
      <c r="G27" s="39"/>
      <c r="H27" s="39"/>
      <c r="I27" s="39"/>
      <c r="J27" s="39"/>
      <c r="K27" s="39"/>
      <c r="L27" s="39"/>
      <c r="M27" s="39"/>
      <c r="N27" s="39"/>
      <c r="O27" s="39"/>
      <c r="U27" s="7"/>
    </row>
    <row r="28" spans="1:22">
      <c r="A28" s="258" t="s">
        <v>24</v>
      </c>
      <c r="B28" s="104">
        <f>SUM(B25:B27)</f>
        <v>1209.5710000000001</v>
      </c>
      <c r="C28" s="104" t="s">
        <v>237</v>
      </c>
      <c r="D28" s="247"/>
      <c r="E28" s="39"/>
      <c r="F28" s="39"/>
      <c r="G28" s="39"/>
      <c r="H28" s="39"/>
      <c r="I28" s="39"/>
      <c r="J28" s="39"/>
      <c r="K28" s="39"/>
      <c r="L28" s="39"/>
      <c r="M28" s="39"/>
      <c r="N28" s="39"/>
      <c r="O28" s="39"/>
      <c r="U28" s="7"/>
    </row>
    <row r="29" spans="1:22">
      <c r="A29" s="258"/>
      <c r="B29" s="104"/>
      <c r="C29" s="104"/>
      <c r="D29" s="247"/>
      <c r="E29" s="39"/>
      <c r="F29" s="39"/>
      <c r="G29" s="39"/>
      <c r="H29" s="39"/>
      <c r="I29" s="39"/>
      <c r="J29" s="39"/>
      <c r="K29" s="39"/>
      <c r="L29" s="39"/>
      <c r="M29" s="39"/>
      <c r="N29" s="39"/>
      <c r="O29" s="39"/>
      <c r="U29" s="7"/>
    </row>
    <row r="30" spans="1:22">
      <c r="A30" s="50" t="s">
        <v>13</v>
      </c>
      <c r="B30" s="46"/>
      <c r="C30" s="46"/>
      <c r="D30" s="247"/>
      <c r="E30" s="39"/>
      <c r="F30" s="39"/>
      <c r="G30" s="39"/>
      <c r="H30" s="39"/>
      <c r="I30" s="39"/>
      <c r="J30" s="39"/>
      <c r="K30" s="39"/>
      <c r="L30" s="39"/>
      <c r="M30" s="39"/>
      <c r="N30" s="39"/>
      <c r="O30" s="39"/>
      <c r="U30" s="7"/>
    </row>
    <row r="31" spans="1:22">
      <c r="A31" s="39" t="s">
        <v>7</v>
      </c>
      <c r="B31" s="46">
        <v>1227.0999999999999</v>
      </c>
      <c r="C31" s="46"/>
      <c r="D31" s="247">
        <v>2005</v>
      </c>
      <c r="E31" s="39" t="s">
        <v>96</v>
      </c>
      <c r="F31" s="39"/>
      <c r="G31" s="39"/>
      <c r="H31" s="39"/>
      <c r="I31" s="39"/>
      <c r="J31" s="39"/>
      <c r="K31" s="39"/>
      <c r="L31" s="39"/>
      <c r="M31" s="39"/>
      <c r="N31" s="39"/>
      <c r="O31" s="39"/>
      <c r="U31" s="7"/>
      <c r="V31" t="s">
        <v>324</v>
      </c>
    </row>
    <row r="32" spans="1:22">
      <c r="A32" s="39" t="s">
        <v>8</v>
      </c>
      <c r="B32" s="46"/>
      <c r="C32" s="46"/>
      <c r="D32" s="247"/>
      <c r="E32" s="39" t="s">
        <v>70</v>
      </c>
      <c r="F32" s="39"/>
      <c r="G32" s="39"/>
      <c r="H32" s="39"/>
      <c r="I32" s="39"/>
      <c r="J32" s="39"/>
      <c r="K32" s="39"/>
      <c r="L32" s="39"/>
      <c r="M32" s="39"/>
      <c r="N32" s="39"/>
      <c r="O32" s="39"/>
      <c r="U32" s="7"/>
    </row>
    <row r="33" spans="1:22">
      <c r="A33" s="258" t="s">
        <v>57</v>
      </c>
      <c r="B33" s="104">
        <f>SUM(B31:B32)</f>
        <v>1227.0999999999999</v>
      </c>
      <c r="C33" s="104"/>
      <c r="D33" s="247"/>
      <c r="E33" s="39"/>
      <c r="F33" s="39"/>
      <c r="G33" s="39"/>
      <c r="H33" s="39"/>
      <c r="I33" s="39"/>
      <c r="J33" s="39"/>
      <c r="K33" s="39"/>
      <c r="L33" s="39"/>
      <c r="M33" s="39"/>
      <c r="N33" s="39"/>
      <c r="O33" s="39"/>
      <c r="U33" s="7"/>
    </row>
    <row r="34" spans="1:22">
      <c r="A34" s="39" t="s">
        <v>64</v>
      </c>
      <c r="B34" s="46"/>
      <c r="C34" s="46"/>
      <c r="D34" s="247"/>
      <c r="E34" s="39"/>
      <c r="F34" s="39"/>
      <c r="G34" s="39"/>
      <c r="H34" s="39"/>
      <c r="I34" s="39"/>
      <c r="J34" s="39"/>
      <c r="K34" s="39"/>
      <c r="L34" s="39"/>
      <c r="M34" s="39"/>
      <c r="N34" s="39"/>
      <c r="O34" s="39"/>
      <c r="U34" s="7"/>
    </row>
    <row r="35" spans="1:22">
      <c r="A35" s="39" t="s">
        <v>9</v>
      </c>
      <c r="B35" s="46">
        <v>308</v>
      </c>
      <c r="C35" s="46"/>
      <c r="D35" s="247">
        <v>2005</v>
      </c>
      <c r="E35" s="39" t="s">
        <v>61</v>
      </c>
      <c r="F35" s="39"/>
      <c r="G35" s="39"/>
      <c r="H35" s="39"/>
      <c r="I35" s="39"/>
      <c r="J35" s="39"/>
      <c r="K35" s="39"/>
      <c r="L35" s="39"/>
      <c r="M35" s="39"/>
      <c r="N35" s="39"/>
      <c r="O35" s="39"/>
      <c r="U35" s="7"/>
      <c r="V35" t="s">
        <v>75</v>
      </c>
    </row>
    <row r="36" spans="1:22">
      <c r="A36" s="39" t="s">
        <v>10</v>
      </c>
      <c r="B36" s="46">
        <v>764</v>
      </c>
      <c r="C36" s="46"/>
      <c r="D36" s="247"/>
      <c r="E36" s="39"/>
      <c r="F36" s="39"/>
      <c r="G36" s="39"/>
      <c r="H36" s="39"/>
      <c r="I36" s="39"/>
      <c r="J36" s="39"/>
      <c r="K36" s="39"/>
      <c r="L36" s="39"/>
      <c r="M36" s="39"/>
      <c r="N36" s="39"/>
      <c r="O36" s="39"/>
      <c r="U36" s="7"/>
      <c r="V36" t="s">
        <v>429</v>
      </c>
    </row>
    <row r="37" spans="1:22">
      <c r="A37" s="258" t="s">
        <v>24</v>
      </c>
      <c r="B37" s="104">
        <f>SUM(B35:B36)</f>
        <v>1072</v>
      </c>
      <c r="C37" s="104"/>
      <c r="D37" s="247"/>
      <c r="E37" s="39"/>
      <c r="F37" s="39"/>
      <c r="G37" s="39"/>
      <c r="H37" s="39"/>
      <c r="I37" s="39"/>
      <c r="J37" s="39"/>
      <c r="K37" s="39"/>
      <c r="L37" s="39"/>
      <c r="M37" s="39"/>
      <c r="N37" s="39"/>
      <c r="O37" s="39"/>
      <c r="U37" s="7"/>
    </row>
    <row r="38" spans="1:22">
      <c r="A38" s="39"/>
      <c r="B38" s="46"/>
      <c r="C38" s="46"/>
      <c r="D38" s="247"/>
      <c r="E38" s="39"/>
      <c r="F38" s="39"/>
      <c r="G38" s="39"/>
      <c r="H38" s="39"/>
      <c r="I38" s="39"/>
      <c r="J38" s="39"/>
      <c r="K38" s="39"/>
      <c r="L38" s="39"/>
      <c r="M38" s="39"/>
      <c r="N38" s="39"/>
      <c r="O38" s="39"/>
    </row>
    <row r="39" spans="1:22" ht="15.75">
      <c r="A39" s="48" t="s">
        <v>23</v>
      </c>
      <c r="B39" s="49">
        <f>SUM(B13+B19+B22+B28+B33+B37)</f>
        <v>5026.9089999999997</v>
      </c>
      <c r="C39" s="49" t="s">
        <v>237</v>
      </c>
      <c r="D39" s="39"/>
      <c r="E39" s="39"/>
      <c r="F39" s="39"/>
      <c r="G39" s="39"/>
      <c r="H39" s="39"/>
      <c r="I39" s="39"/>
      <c r="J39" s="39"/>
      <c r="K39" s="39"/>
      <c r="L39" s="39"/>
      <c r="M39" s="39"/>
      <c r="N39" s="39"/>
      <c r="O39" s="39"/>
    </row>
    <row r="40" spans="1:22" ht="15.75">
      <c r="A40" s="48"/>
      <c r="B40" s="48"/>
      <c r="C40" s="48"/>
      <c r="D40" s="39"/>
      <c r="E40" s="39"/>
      <c r="F40" s="39"/>
      <c r="G40" s="39"/>
      <c r="H40" s="39"/>
      <c r="I40" s="39"/>
      <c r="J40" s="39"/>
      <c r="K40" s="39"/>
      <c r="L40" s="39"/>
      <c r="M40" s="39"/>
      <c r="N40" s="39"/>
      <c r="O40" s="39"/>
    </row>
    <row r="41" spans="1:22" ht="15.75">
      <c r="A41" s="106" t="s">
        <v>677</v>
      </c>
      <c r="B41" s="48"/>
      <c r="C41" s="48"/>
      <c r="D41" s="39"/>
      <c r="E41" s="39"/>
      <c r="F41" s="39"/>
      <c r="G41" s="39"/>
      <c r="H41" s="39"/>
      <c r="I41" s="39"/>
      <c r="J41" s="39"/>
      <c r="K41" s="39"/>
      <c r="L41" s="39"/>
      <c r="M41" s="39"/>
      <c r="N41" s="39"/>
      <c r="O41" s="39"/>
    </row>
    <row r="42" spans="1:22" ht="15.75">
      <c r="A42" s="106"/>
      <c r="B42" s="48"/>
      <c r="C42" s="48"/>
      <c r="D42" s="39"/>
      <c r="E42" s="39"/>
    </row>
    <row r="43" spans="1:22">
      <c r="B43" s="39"/>
      <c r="C43" s="39"/>
    </row>
    <row r="44" spans="1:22">
      <c r="B44" s="41" t="s">
        <v>416</v>
      </c>
      <c r="C44" s="41"/>
    </row>
    <row r="45" spans="1:22">
      <c r="B45" s="41" t="s">
        <v>181</v>
      </c>
      <c r="C45" s="41"/>
    </row>
    <row r="46" spans="1:22">
      <c r="B46" s="41" t="s">
        <v>16</v>
      </c>
      <c r="C46" s="41"/>
    </row>
    <row r="47" spans="1:22">
      <c r="A47" s="2" t="s">
        <v>11</v>
      </c>
      <c r="B47" s="106"/>
      <c r="C47" s="106"/>
    </row>
    <row r="48" spans="1:22">
      <c r="B48" s="106"/>
      <c r="C48" s="106"/>
    </row>
    <row r="49" spans="1:31">
      <c r="A49" t="s">
        <v>0</v>
      </c>
      <c r="B49" s="46">
        <f>'CAN Disability details 09-10'!B6*0.232</f>
        <v>143.84</v>
      </c>
      <c r="C49" s="46"/>
      <c r="D49" s="22" t="s">
        <v>217</v>
      </c>
      <c r="E49" t="s">
        <v>354</v>
      </c>
      <c r="V49" s="38" t="s">
        <v>344</v>
      </c>
    </row>
    <row r="50" spans="1:31">
      <c r="A50" t="s">
        <v>1</v>
      </c>
      <c r="B50" s="46">
        <f>'CAN Disability details 09-10'!B7*0.232</f>
        <v>232</v>
      </c>
      <c r="C50" s="46"/>
      <c r="D50" s="22" t="s">
        <v>217</v>
      </c>
      <c r="E50" t="s">
        <v>218</v>
      </c>
    </row>
    <row r="51" spans="1:31">
      <c r="A51" t="s">
        <v>14</v>
      </c>
      <c r="B51" s="46">
        <f>'CAN Disability details 09-10'!B8*0.232</f>
        <v>22.504000000000001</v>
      </c>
      <c r="C51" s="46"/>
      <c r="D51" s="22" t="s">
        <v>217</v>
      </c>
      <c r="E51" t="s">
        <v>453</v>
      </c>
    </row>
    <row r="52" spans="1:31">
      <c r="A52" t="s">
        <v>2</v>
      </c>
      <c r="B52" s="46">
        <f>'CAN Disability details 09-10'!B9*0.232</f>
        <v>1.1600000000000001</v>
      </c>
      <c r="C52" s="46"/>
      <c r="D52" s="22" t="s">
        <v>217</v>
      </c>
    </row>
    <row r="53" spans="1:31">
      <c r="A53" t="s">
        <v>68</v>
      </c>
      <c r="B53" s="46">
        <f>'CAN Disability details 09-10'!B10*0.232</f>
        <v>0</v>
      </c>
      <c r="C53" s="46"/>
      <c r="D53" s="22" t="s">
        <v>217</v>
      </c>
      <c r="E53" s="7"/>
    </row>
    <row r="54" spans="1:31">
      <c r="A54" t="s">
        <v>3</v>
      </c>
      <c r="B54" s="46">
        <f>'CAN Disability details 09-10'!B11*0.232</f>
        <v>30.16</v>
      </c>
      <c r="C54" s="46"/>
      <c r="D54" s="22" t="s">
        <v>217</v>
      </c>
      <c r="E54" s="7"/>
    </row>
    <row r="55" spans="1:31">
      <c r="A55" t="s">
        <v>15</v>
      </c>
      <c r="B55" s="46">
        <f>'CAN Disability details 09-10'!B12*0.232</f>
        <v>45.588000000000001</v>
      </c>
      <c r="C55" s="46"/>
      <c r="D55" s="22" t="s">
        <v>217</v>
      </c>
      <c r="E55" s="7"/>
    </row>
    <row r="56" spans="1:31">
      <c r="A56" s="3" t="s">
        <v>24</v>
      </c>
      <c r="B56" s="104">
        <f>SUM(B49:B55)</f>
        <v>475.25200000000012</v>
      </c>
      <c r="C56" s="104"/>
      <c r="E56" s="7"/>
    </row>
    <row r="57" spans="1:31">
      <c r="B57" s="46"/>
      <c r="C57" s="46"/>
    </row>
    <row r="58" spans="1:31">
      <c r="A58" s="2" t="s">
        <v>4</v>
      </c>
      <c r="B58" s="46"/>
      <c r="C58" s="46"/>
    </row>
    <row r="59" spans="1:31">
      <c r="A59" t="s">
        <v>5</v>
      </c>
      <c r="B59" s="46">
        <v>16.399999999999999</v>
      </c>
      <c r="C59" s="46"/>
      <c r="E59" t="s">
        <v>325</v>
      </c>
    </row>
    <row r="60" spans="1:31">
      <c r="A60" t="s">
        <v>69</v>
      </c>
      <c r="B60" s="105">
        <f>'CAN Disability details 09-10'!B17</f>
        <v>749.4</v>
      </c>
      <c r="C60" s="105"/>
      <c r="E60" t="s">
        <v>371</v>
      </c>
    </row>
    <row r="61" spans="1:31">
      <c r="A61" t="s">
        <v>6</v>
      </c>
      <c r="B61" s="114">
        <v>298.8</v>
      </c>
      <c r="C61" s="114"/>
      <c r="D61" s="103"/>
      <c r="E61" s="103" t="s">
        <v>394</v>
      </c>
      <c r="F61" s="103"/>
      <c r="G61" s="103"/>
      <c r="H61" s="103"/>
      <c r="I61" s="103"/>
      <c r="J61" s="103"/>
      <c r="K61" s="103"/>
      <c r="L61" s="103"/>
      <c r="M61" s="103"/>
      <c r="N61" s="103"/>
      <c r="O61" s="103"/>
      <c r="P61" s="103"/>
      <c r="Q61" s="103"/>
      <c r="R61" s="103"/>
      <c r="S61" s="103"/>
      <c r="T61" s="103"/>
      <c r="U61" s="111"/>
      <c r="V61" s="110" t="s">
        <v>395</v>
      </c>
      <c r="W61" s="103"/>
      <c r="X61" s="103"/>
      <c r="Y61" s="103"/>
      <c r="Z61" s="103"/>
      <c r="AA61" s="103"/>
      <c r="AB61" s="103"/>
      <c r="AC61" s="103"/>
      <c r="AD61" s="103"/>
      <c r="AE61" s="103"/>
    </row>
    <row r="62" spans="1:31">
      <c r="A62" s="258" t="s">
        <v>24</v>
      </c>
      <c r="B62" s="104">
        <f>SUM(B59:B61)</f>
        <v>1064.5999999999999</v>
      </c>
      <c r="C62" s="104"/>
      <c r="D62" s="39"/>
      <c r="E62" s="39"/>
      <c r="F62" s="39"/>
      <c r="G62" s="39"/>
      <c r="H62" s="39"/>
      <c r="I62" s="39"/>
      <c r="J62" s="39"/>
      <c r="K62" s="39"/>
      <c r="L62" s="39"/>
      <c r="M62" s="39"/>
      <c r="N62" s="39"/>
      <c r="O62" s="39"/>
      <c r="P62" s="39"/>
      <c r="Q62" s="39"/>
      <c r="R62" s="103"/>
      <c r="S62" s="103"/>
      <c r="T62" s="103"/>
      <c r="U62" s="103"/>
      <c r="V62" s="103"/>
      <c r="W62" s="103"/>
      <c r="X62" s="103"/>
      <c r="Y62" s="103"/>
      <c r="Z62" s="103"/>
      <c r="AA62" s="103"/>
      <c r="AB62" s="103"/>
      <c r="AC62" s="103"/>
      <c r="AD62" s="103"/>
      <c r="AE62" s="103"/>
    </row>
    <row r="63" spans="1:31">
      <c r="A63" s="39"/>
      <c r="B63" s="46"/>
      <c r="C63" s="46"/>
      <c r="D63" s="39"/>
      <c r="E63" s="39"/>
      <c r="F63" s="39"/>
      <c r="G63" s="39"/>
      <c r="H63" s="39"/>
      <c r="I63" s="39"/>
      <c r="J63" s="39"/>
      <c r="K63" s="39"/>
      <c r="L63" s="39"/>
      <c r="M63" s="39"/>
      <c r="N63" s="39"/>
      <c r="O63" s="39"/>
      <c r="P63" s="39"/>
      <c r="Q63" s="39"/>
      <c r="R63" s="103"/>
      <c r="S63" s="103"/>
      <c r="T63" s="103"/>
      <c r="U63" s="103"/>
      <c r="V63" s="103"/>
      <c r="W63" s="103"/>
      <c r="X63" s="103"/>
      <c r="Y63" s="103"/>
      <c r="Z63" s="103"/>
      <c r="AA63" s="103"/>
      <c r="AB63" s="103"/>
      <c r="AC63" s="103"/>
      <c r="AD63" s="103"/>
      <c r="AE63" s="103"/>
    </row>
    <row r="64" spans="1:31">
      <c r="A64" s="39" t="s">
        <v>478</v>
      </c>
      <c r="B64" s="104">
        <f>'CAN Disability details 09-10'!B22*0.118</f>
        <v>239.56359999999998</v>
      </c>
      <c r="C64" s="104" t="s">
        <v>437</v>
      </c>
      <c r="D64" s="39"/>
      <c r="E64" s="39" t="s">
        <v>457</v>
      </c>
      <c r="F64" s="39"/>
      <c r="G64" s="39"/>
      <c r="H64" s="39"/>
      <c r="I64" s="39"/>
      <c r="J64" s="39"/>
      <c r="K64" s="39"/>
      <c r="L64" s="39"/>
      <c r="M64" s="39"/>
      <c r="N64" s="39"/>
      <c r="O64" s="39"/>
      <c r="P64" s="39"/>
      <c r="Q64" s="39"/>
    </row>
    <row r="65" spans="1:22">
      <c r="A65" s="258"/>
      <c r="B65" s="104"/>
      <c r="C65" s="104"/>
      <c r="D65" s="39"/>
      <c r="E65" s="39" t="s">
        <v>468</v>
      </c>
      <c r="F65" s="39"/>
      <c r="G65" s="39"/>
      <c r="H65" s="39"/>
      <c r="I65" s="39"/>
      <c r="J65" s="39"/>
      <c r="K65" s="39"/>
      <c r="L65" s="39"/>
      <c r="M65" s="39"/>
      <c r="N65" s="39"/>
      <c r="O65" s="39"/>
      <c r="P65" s="39"/>
      <c r="Q65" s="39"/>
    </row>
    <row r="66" spans="1:22">
      <c r="A66" s="50" t="s">
        <v>334</v>
      </c>
      <c r="B66" s="46"/>
      <c r="C66" s="46"/>
      <c r="D66" s="39"/>
      <c r="E66" s="39"/>
      <c r="F66" s="39"/>
      <c r="G66" s="39"/>
      <c r="H66" s="39"/>
      <c r="I66" s="39"/>
      <c r="J66" s="39"/>
      <c r="K66" s="39"/>
      <c r="L66" s="39"/>
      <c r="M66" s="39"/>
      <c r="N66" s="39"/>
      <c r="O66" s="39"/>
      <c r="P66" s="39"/>
      <c r="Q66" s="39"/>
    </row>
    <row r="67" spans="1:22">
      <c r="A67" s="39" t="s">
        <v>335</v>
      </c>
      <c r="B67" s="46">
        <f>'SA $ by prov 09-10'!B83</f>
        <v>1273.8948014735979</v>
      </c>
      <c r="C67" s="46" t="s">
        <v>437</v>
      </c>
      <c r="D67" s="39"/>
      <c r="E67" s="150" t="s">
        <v>454</v>
      </c>
      <c r="F67" s="39"/>
      <c r="G67" s="39"/>
      <c r="H67" s="39"/>
      <c r="I67" s="39"/>
      <c r="J67" s="39"/>
      <c r="K67" s="39"/>
      <c r="L67" s="39"/>
      <c r="M67" s="39"/>
      <c r="N67" s="39"/>
      <c r="O67" s="39"/>
      <c r="P67" s="39"/>
      <c r="Q67" s="39"/>
    </row>
    <row r="68" spans="1:22">
      <c r="A68" s="39"/>
      <c r="B68" s="46"/>
      <c r="C68" s="46"/>
      <c r="D68" s="39"/>
      <c r="E68" s="150" t="s">
        <v>455</v>
      </c>
      <c r="F68" s="39"/>
      <c r="G68" s="39"/>
      <c r="H68" s="39"/>
      <c r="I68" s="39"/>
      <c r="J68" s="39"/>
      <c r="K68" s="39"/>
      <c r="L68" s="39"/>
      <c r="M68" s="39"/>
      <c r="N68" s="39"/>
      <c r="O68" s="39"/>
      <c r="P68" s="39"/>
      <c r="Q68" s="39"/>
      <c r="V68" s="38" t="s">
        <v>188</v>
      </c>
    </row>
    <row r="69" spans="1:22">
      <c r="A69" s="39" t="s">
        <v>12</v>
      </c>
      <c r="B69" s="46">
        <f>61.4*0.55</f>
        <v>33.770000000000003</v>
      </c>
      <c r="C69" s="46" t="s">
        <v>237</v>
      </c>
      <c r="D69" s="39"/>
      <c r="E69" s="39" t="s">
        <v>656</v>
      </c>
      <c r="F69" s="39"/>
      <c r="G69" s="39"/>
      <c r="H69" s="39"/>
      <c r="I69" s="39"/>
      <c r="J69" s="39"/>
      <c r="K69" s="39"/>
      <c r="L69" s="39"/>
      <c r="M69" s="39"/>
      <c r="N69" s="39"/>
      <c r="O69" s="39"/>
      <c r="P69" s="39"/>
      <c r="Q69" s="39"/>
    </row>
    <row r="70" spans="1:22">
      <c r="A70" s="258" t="s">
        <v>24</v>
      </c>
      <c r="B70" s="104">
        <f>SUM(B67:B69)</f>
        <v>1307.6648014735979</v>
      </c>
      <c r="C70" s="104" t="s">
        <v>237</v>
      </c>
      <c r="D70" s="39"/>
      <c r="E70" s="39"/>
      <c r="F70" s="39"/>
      <c r="G70" s="39"/>
      <c r="H70" s="39"/>
      <c r="I70" s="39"/>
      <c r="J70" s="39"/>
      <c r="K70" s="39"/>
      <c r="L70" s="39"/>
      <c r="M70" s="39"/>
      <c r="N70" s="39"/>
      <c r="O70" s="39"/>
      <c r="P70" s="39"/>
      <c r="Q70" s="39"/>
    </row>
    <row r="71" spans="1:22">
      <c r="A71" s="258"/>
      <c r="B71" s="104"/>
      <c r="C71" s="104"/>
      <c r="D71" s="39"/>
      <c r="E71" s="39"/>
      <c r="F71" s="39"/>
      <c r="G71" s="39"/>
      <c r="H71" s="39"/>
      <c r="I71" s="39"/>
      <c r="J71" s="39"/>
      <c r="K71" s="39"/>
      <c r="L71" s="39"/>
      <c r="M71" s="39"/>
      <c r="N71" s="39"/>
      <c r="O71" s="39"/>
      <c r="P71" s="39"/>
      <c r="Q71" s="39"/>
    </row>
    <row r="72" spans="1:22">
      <c r="A72" s="50" t="s">
        <v>13</v>
      </c>
      <c r="B72" s="46"/>
      <c r="C72" s="46"/>
      <c r="D72" s="39"/>
      <c r="E72" s="39"/>
      <c r="F72" s="39"/>
      <c r="G72" s="39"/>
      <c r="H72" s="39"/>
      <c r="I72" s="39"/>
      <c r="J72" s="39"/>
      <c r="K72" s="39"/>
      <c r="L72" s="39"/>
      <c r="M72" s="39"/>
      <c r="N72" s="39"/>
      <c r="O72" s="39"/>
      <c r="P72" s="39"/>
      <c r="Q72" s="39"/>
    </row>
    <row r="73" spans="1:22">
      <c r="A73" s="39" t="s">
        <v>7</v>
      </c>
      <c r="B73" s="46">
        <v>1364.2</v>
      </c>
      <c r="C73" s="46"/>
      <c r="D73" s="39"/>
      <c r="E73" s="39" t="s">
        <v>215</v>
      </c>
      <c r="F73" s="39"/>
      <c r="G73" s="39"/>
      <c r="H73" s="39"/>
      <c r="I73" s="39"/>
      <c r="J73" s="39"/>
      <c r="K73" s="39"/>
      <c r="L73" s="39"/>
      <c r="M73" s="39"/>
      <c r="N73" s="39"/>
      <c r="O73" s="39"/>
      <c r="P73" s="39"/>
      <c r="Q73" s="39"/>
    </row>
    <row r="74" spans="1:22">
      <c r="A74" s="39" t="s">
        <v>8</v>
      </c>
      <c r="B74" s="46"/>
      <c r="C74" s="46"/>
      <c r="D74" s="39"/>
      <c r="E74" s="39" t="s">
        <v>167</v>
      </c>
      <c r="F74" s="39"/>
      <c r="G74" s="39"/>
      <c r="H74" s="39"/>
      <c r="I74" s="39"/>
      <c r="J74" s="39"/>
      <c r="K74" s="39"/>
      <c r="L74" s="39"/>
      <c r="M74" s="39"/>
      <c r="N74" s="39"/>
      <c r="O74" s="39"/>
      <c r="P74" s="39"/>
      <c r="Q74" s="39"/>
    </row>
    <row r="75" spans="1:22">
      <c r="A75" s="258" t="s">
        <v>57</v>
      </c>
      <c r="B75" s="104">
        <f>SUM(B73:B74)</f>
        <v>1364.2</v>
      </c>
      <c r="C75" s="104"/>
      <c r="D75" s="39"/>
      <c r="E75" s="39"/>
      <c r="F75" s="39"/>
      <c r="G75" s="39"/>
      <c r="H75" s="39"/>
      <c r="I75" s="39"/>
      <c r="J75" s="39"/>
      <c r="K75" s="39"/>
      <c r="L75" s="39"/>
      <c r="M75" s="39"/>
      <c r="N75" s="39"/>
      <c r="O75" s="39"/>
      <c r="P75" s="39"/>
      <c r="Q75" s="39"/>
    </row>
    <row r="76" spans="1:22">
      <c r="A76" s="258"/>
      <c r="B76" s="104"/>
      <c r="C76" s="104"/>
      <c r="D76" s="39"/>
      <c r="E76" s="39"/>
      <c r="F76" s="39"/>
      <c r="G76" s="39"/>
      <c r="H76" s="39"/>
      <c r="I76" s="39"/>
      <c r="J76" s="39"/>
      <c r="K76" s="39"/>
      <c r="L76" s="39"/>
      <c r="M76" s="39"/>
      <c r="N76" s="39"/>
      <c r="O76" s="39"/>
      <c r="P76" s="39"/>
      <c r="Q76" s="39"/>
    </row>
    <row r="77" spans="1:22">
      <c r="A77" s="39" t="s">
        <v>64</v>
      </c>
      <c r="B77" s="46"/>
      <c r="C77" s="46"/>
      <c r="D77" s="39"/>
      <c r="E77" s="39"/>
      <c r="F77" s="39"/>
      <c r="G77" s="39"/>
      <c r="H77" s="39"/>
      <c r="I77" s="39"/>
      <c r="J77" s="39"/>
      <c r="K77" s="39"/>
      <c r="L77" s="39"/>
      <c r="M77" s="39"/>
      <c r="N77" s="39"/>
      <c r="O77" s="39"/>
      <c r="P77" s="39"/>
      <c r="Q77" s="39"/>
    </row>
    <row r="78" spans="1:22">
      <c r="A78" s="39" t="s">
        <v>9</v>
      </c>
      <c r="B78" s="46">
        <v>287</v>
      </c>
      <c r="C78" s="46"/>
      <c r="D78" s="39"/>
      <c r="E78" s="39" t="s">
        <v>207</v>
      </c>
      <c r="F78" s="39"/>
      <c r="G78" s="39"/>
      <c r="H78" s="39"/>
      <c r="I78" s="39"/>
      <c r="J78" s="39"/>
      <c r="K78" s="39"/>
      <c r="L78" s="39"/>
      <c r="M78" s="39"/>
      <c r="N78" s="39"/>
      <c r="O78" s="39"/>
      <c r="P78" s="39"/>
      <c r="Q78" s="39"/>
    </row>
    <row r="79" spans="1:22">
      <c r="A79" s="39" t="s">
        <v>10</v>
      </c>
      <c r="B79" s="46">
        <v>940</v>
      </c>
      <c r="C79" s="46"/>
      <c r="D79" s="39"/>
      <c r="E79" s="39" t="s">
        <v>207</v>
      </c>
      <c r="F79" s="39"/>
      <c r="G79" s="39"/>
      <c r="H79" s="39"/>
      <c r="I79" s="39"/>
      <c r="J79" s="39"/>
      <c r="K79" s="39"/>
      <c r="L79" s="39"/>
      <c r="M79" s="39"/>
      <c r="N79" s="39"/>
      <c r="O79" s="39"/>
      <c r="P79" s="39"/>
      <c r="Q79" s="39"/>
    </row>
    <row r="80" spans="1:22">
      <c r="A80" s="258" t="s">
        <v>24</v>
      </c>
      <c r="B80" s="104">
        <f>SUM(B78:B79)</f>
        <v>1227</v>
      </c>
      <c r="C80" s="104"/>
      <c r="D80" s="39"/>
      <c r="E80" s="39" t="s">
        <v>429</v>
      </c>
      <c r="F80" s="39"/>
      <c r="G80" s="39"/>
      <c r="H80" s="39"/>
      <c r="I80" s="39"/>
      <c r="J80" s="39"/>
      <c r="K80" s="39"/>
      <c r="L80" s="39"/>
      <c r="M80" s="39"/>
      <c r="N80" s="39"/>
      <c r="O80" s="39"/>
      <c r="P80" s="39"/>
      <c r="Q80" s="39"/>
    </row>
    <row r="81" spans="1:22">
      <c r="A81" s="39"/>
      <c r="B81" s="46"/>
      <c r="C81" s="46"/>
      <c r="D81" s="39"/>
      <c r="E81" s="39"/>
      <c r="F81" s="39"/>
      <c r="G81" s="39"/>
      <c r="H81" s="39"/>
      <c r="I81" s="39"/>
      <c r="J81" s="39"/>
      <c r="K81" s="39"/>
      <c r="L81" s="39"/>
      <c r="M81" s="39"/>
      <c r="N81" s="39"/>
      <c r="O81" s="39"/>
      <c r="P81" s="39"/>
      <c r="Q81" s="39"/>
    </row>
    <row r="82" spans="1:22" ht="15.75">
      <c r="A82" s="48" t="s">
        <v>23</v>
      </c>
      <c r="B82" s="49">
        <f>SUM(B56+B62+B64+B69+B67+B75+B80)</f>
        <v>5678.2804014735975</v>
      </c>
      <c r="C82" s="49" t="s">
        <v>237</v>
      </c>
      <c r="D82" s="39"/>
      <c r="E82" s="39"/>
      <c r="F82" s="39"/>
      <c r="G82" s="39"/>
      <c r="H82" s="39"/>
      <c r="I82" s="39"/>
      <c r="J82" s="39"/>
      <c r="K82" s="39"/>
      <c r="L82" s="39"/>
      <c r="M82" s="39"/>
      <c r="N82" s="39"/>
      <c r="O82" s="39"/>
      <c r="P82" s="39"/>
      <c r="Q82" s="39"/>
    </row>
    <row r="83" spans="1:22" ht="15.75">
      <c r="A83" s="48"/>
      <c r="B83" s="49"/>
      <c r="C83" s="49"/>
      <c r="D83" s="39"/>
      <c r="E83" s="39"/>
      <c r="F83" s="39"/>
      <c r="G83" s="39"/>
      <c r="H83" s="39"/>
      <c r="I83" s="39"/>
      <c r="J83" s="39"/>
      <c r="K83" s="39"/>
      <c r="L83" s="39"/>
      <c r="M83" s="39"/>
      <c r="N83" s="39"/>
      <c r="O83" s="39"/>
      <c r="P83" s="39"/>
      <c r="Q83" s="39"/>
    </row>
    <row r="84" spans="1:22">
      <c r="A84" s="106" t="s">
        <v>677</v>
      </c>
      <c r="B84" s="39"/>
      <c r="C84" s="39"/>
      <c r="D84" s="39"/>
      <c r="E84" s="39"/>
      <c r="F84" s="39"/>
      <c r="G84" s="39"/>
      <c r="H84" s="39"/>
      <c r="I84" s="39"/>
      <c r="J84" s="39"/>
      <c r="K84" s="39"/>
      <c r="L84" s="39"/>
      <c r="M84" s="39"/>
      <c r="N84" s="39"/>
      <c r="O84" s="39"/>
      <c r="P84" s="39"/>
      <c r="Q84" s="39"/>
    </row>
    <row r="85" spans="1:22">
      <c r="A85" s="106"/>
    </row>
    <row r="86" spans="1:22">
      <c r="A86" s="106"/>
    </row>
    <row r="87" spans="1:22">
      <c r="B87" s="41" t="s">
        <v>416</v>
      </c>
      <c r="C87" s="41"/>
    </row>
    <row r="88" spans="1:22">
      <c r="B88" s="41" t="s">
        <v>514</v>
      </c>
      <c r="C88" s="41"/>
    </row>
    <row r="89" spans="1:22">
      <c r="B89" s="41" t="s">
        <v>16</v>
      </c>
      <c r="C89" s="41"/>
    </row>
    <row r="90" spans="1:22">
      <c r="A90" s="2" t="s">
        <v>11</v>
      </c>
      <c r="B90" s="106"/>
      <c r="C90" s="106"/>
    </row>
    <row r="91" spans="1:22">
      <c r="B91" s="106"/>
      <c r="C91" s="106"/>
    </row>
    <row r="92" spans="1:22">
      <c r="A92" t="s">
        <v>0</v>
      </c>
      <c r="B92" s="143">
        <f>'CAN Disability details 10-11'!B6*0.231</f>
        <v>150.15</v>
      </c>
      <c r="C92" s="46"/>
      <c r="D92" s="22" t="s">
        <v>217</v>
      </c>
      <c r="E92" s="52" t="s">
        <v>811</v>
      </c>
      <c r="R92" s="145"/>
      <c r="S92" s="145"/>
      <c r="T92" s="145"/>
      <c r="U92" s="145" t="s">
        <v>810</v>
      </c>
      <c r="V92" s="38" t="s">
        <v>344</v>
      </c>
    </row>
    <row r="93" spans="1:22">
      <c r="A93" t="s">
        <v>1</v>
      </c>
      <c r="B93" s="143">
        <f>'CAN Disability details 10-11'!B7*0.231</f>
        <v>249.48000000000002</v>
      </c>
      <c r="C93" s="46"/>
      <c r="D93" s="22" t="s">
        <v>217</v>
      </c>
      <c r="E93" s="52" t="s">
        <v>757</v>
      </c>
      <c r="I93" t="s">
        <v>93</v>
      </c>
      <c r="R93" s="39"/>
      <c r="S93" s="39"/>
      <c r="T93" s="39"/>
      <c r="U93" s="39" t="s">
        <v>752</v>
      </c>
    </row>
    <row r="94" spans="1:22">
      <c r="A94" t="s">
        <v>14</v>
      </c>
      <c r="B94" s="46">
        <f>'CAN Disability details 10-11'!B8*0.231</f>
        <v>23.1</v>
      </c>
      <c r="C94" s="46"/>
      <c r="D94" s="22" t="s">
        <v>217</v>
      </c>
      <c r="E94" s="52" t="s">
        <v>808</v>
      </c>
      <c r="R94" s="39"/>
      <c r="S94" s="39"/>
      <c r="T94" s="39"/>
      <c r="U94" s="39"/>
    </row>
    <row r="95" spans="1:22">
      <c r="A95" t="s">
        <v>2</v>
      </c>
      <c r="B95" s="46">
        <f>'CAN Disability details 10-11'!B9*0.231</f>
        <v>1.155</v>
      </c>
      <c r="C95" s="46"/>
      <c r="D95" s="22" t="s">
        <v>217</v>
      </c>
      <c r="R95" s="39"/>
      <c r="S95" s="39"/>
      <c r="T95" s="39"/>
      <c r="U95" s="39"/>
    </row>
    <row r="96" spans="1:22">
      <c r="A96" t="s">
        <v>68</v>
      </c>
      <c r="B96" s="46">
        <f>'CAN Disability details 10-11'!B10*0.231</f>
        <v>0</v>
      </c>
      <c r="C96" s="46"/>
      <c r="D96" s="22" t="s">
        <v>217</v>
      </c>
      <c r="R96" s="39"/>
      <c r="S96" s="39"/>
      <c r="T96" s="39"/>
      <c r="U96" s="39"/>
    </row>
    <row r="97" spans="1:22">
      <c r="A97" t="s">
        <v>3</v>
      </c>
      <c r="B97" s="46">
        <f>'CAN Disability details 10-11'!B11*0.231</f>
        <v>31.185000000000002</v>
      </c>
      <c r="C97" s="46"/>
      <c r="D97" s="22" t="s">
        <v>217</v>
      </c>
      <c r="R97" s="39"/>
      <c r="S97" s="39"/>
      <c r="T97" s="39"/>
      <c r="U97" s="39"/>
    </row>
    <row r="98" spans="1:22">
      <c r="A98" t="s">
        <v>15</v>
      </c>
      <c r="B98" s="46">
        <f>'CAN Disability details 10-11'!B12*0.231</f>
        <v>50.912400000000005</v>
      </c>
      <c r="C98" s="46"/>
      <c r="D98" s="22" t="s">
        <v>217</v>
      </c>
      <c r="E98" s="248" t="s">
        <v>581</v>
      </c>
      <c r="F98" s="249"/>
      <c r="G98" s="249"/>
      <c r="H98" s="249"/>
      <c r="I98" s="30"/>
      <c r="J98" s="30"/>
      <c r="K98" s="30"/>
      <c r="L98" s="30"/>
      <c r="M98" s="30"/>
      <c r="N98" s="30"/>
      <c r="O98" s="30"/>
      <c r="P98" s="30"/>
      <c r="Q98" s="171"/>
      <c r="R98" s="145"/>
      <c r="S98" s="145"/>
      <c r="T98" s="145"/>
      <c r="U98" s="38" t="s">
        <v>579</v>
      </c>
    </row>
    <row r="99" spans="1:22">
      <c r="A99" s="3" t="s">
        <v>24</v>
      </c>
      <c r="B99" s="104">
        <f>SUM(B92:B98)</f>
        <v>505.98239999999998</v>
      </c>
      <c r="C99" s="104"/>
      <c r="E99" s="6"/>
      <c r="Q99" s="111"/>
      <c r="R99" s="39"/>
      <c r="S99" s="39"/>
      <c r="T99" s="39"/>
      <c r="U99" s="39"/>
    </row>
    <row r="100" spans="1:22">
      <c r="B100" s="46"/>
      <c r="C100" s="46"/>
      <c r="Q100" s="29"/>
      <c r="R100" s="39"/>
      <c r="S100" s="39"/>
      <c r="T100" s="39"/>
      <c r="U100" s="39"/>
    </row>
    <row r="101" spans="1:22">
      <c r="A101" s="2" t="s">
        <v>4</v>
      </c>
      <c r="B101" s="46"/>
      <c r="C101" s="46"/>
      <c r="Q101" s="29"/>
      <c r="R101" s="39"/>
      <c r="S101" s="39"/>
      <c r="T101" s="39"/>
      <c r="U101" s="39"/>
    </row>
    <row r="102" spans="1:22">
      <c r="A102" t="s">
        <v>5</v>
      </c>
      <c r="B102" s="46">
        <v>17.399999999999999</v>
      </c>
      <c r="C102" s="46"/>
      <c r="E102" s="52" t="s">
        <v>747</v>
      </c>
      <c r="F102" s="30"/>
      <c r="G102" s="30"/>
      <c r="H102" s="30"/>
      <c r="I102" s="30"/>
      <c r="J102" s="30"/>
      <c r="K102" s="30"/>
      <c r="L102" s="30"/>
      <c r="M102" s="30"/>
      <c r="N102" s="30"/>
      <c r="O102" s="30"/>
      <c r="P102" s="30"/>
      <c r="Q102" s="172"/>
      <c r="R102" s="39"/>
      <c r="S102" s="39"/>
      <c r="T102" s="39"/>
      <c r="U102" s="39" t="s">
        <v>693</v>
      </c>
    </row>
    <row r="103" spans="1:22">
      <c r="A103" t="s">
        <v>69</v>
      </c>
      <c r="B103" s="105">
        <v>756</v>
      </c>
      <c r="C103" s="105"/>
      <c r="E103" s="321" t="s">
        <v>748</v>
      </c>
      <c r="F103" s="321"/>
      <c r="G103" s="321"/>
      <c r="H103" s="321"/>
      <c r="I103" s="321"/>
      <c r="J103" s="321"/>
      <c r="K103" s="321"/>
      <c r="L103" s="321"/>
      <c r="M103" s="321"/>
      <c r="N103" s="321"/>
      <c r="O103" s="321"/>
      <c r="P103" s="321"/>
      <c r="Q103" s="172"/>
      <c r="R103" s="39"/>
      <c r="S103" s="39"/>
      <c r="T103" s="39"/>
      <c r="U103" s="39" t="s">
        <v>693</v>
      </c>
    </row>
    <row r="104" spans="1:22">
      <c r="A104" t="s">
        <v>6</v>
      </c>
      <c r="B104" s="114">
        <v>296.5</v>
      </c>
      <c r="C104" s="114"/>
      <c r="D104" s="103"/>
      <c r="E104" s="120" t="s">
        <v>694</v>
      </c>
      <c r="F104" s="103"/>
      <c r="G104" s="103"/>
      <c r="H104" s="103"/>
      <c r="I104" s="103"/>
      <c r="J104" s="103"/>
      <c r="K104" s="103"/>
      <c r="L104" s="103"/>
      <c r="M104" s="103"/>
      <c r="N104" s="103"/>
      <c r="O104" s="103"/>
      <c r="P104" s="103"/>
      <c r="Q104" s="111"/>
      <c r="R104" s="145"/>
      <c r="S104" s="145"/>
      <c r="T104" s="145"/>
      <c r="U104" s="145" t="s">
        <v>519</v>
      </c>
      <c r="V104" s="110" t="s">
        <v>395</v>
      </c>
    </row>
    <row r="105" spans="1:22">
      <c r="A105" s="3" t="s">
        <v>24</v>
      </c>
      <c r="B105" s="112">
        <f>SUM(B102:B104)</f>
        <v>1069.9000000000001</v>
      </c>
      <c r="C105" s="112"/>
      <c r="D105" s="103"/>
      <c r="E105" s="103"/>
      <c r="F105" s="103"/>
      <c r="G105" s="103"/>
      <c r="H105" s="103"/>
      <c r="I105" s="103"/>
      <c r="J105" s="103"/>
      <c r="K105" s="103"/>
      <c r="L105" s="103"/>
      <c r="M105" s="103"/>
      <c r="N105" s="103"/>
      <c r="O105" s="103"/>
      <c r="P105" s="103"/>
      <c r="Q105" s="103"/>
      <c r="R105" s="103"/>
      <c r="S105" s="103"/>
      <c r="T105" s="103"/>
      <c r="U105" s="103"/>
      <c r="V105" s="103"/>
    </row>
    <row r="106" spans="1:22">
      <c r="B106" s="114"/>
      <c r="C106" s="114"/>
      <c r="D106" s="103"/>
      <c r="E106" s="103"/>
      <c r="F106" s="103"/>
      <c r="G106" s="103"/>
      <c r="H106" s="103"/>
      <c r="I106" s="103"/>
      <c r="J106" s="103"/>
      <c r="K106" s="103"/>
      <c r="L106" s="103"/>
      <c r="M106" s="103"/>
      <c r="N106" s="103"/>
      <c r="O106" s="103"/>
      <c r="P106" s="103"/>
      <c r="Q106" s="103"/>
      <c r="R106" s="103"/>
      <c r="S106" s="103"/>
      <c r="T106" s="103"/>
      <c r="U106" s="103"/>
      <c r="V106" s="103"/>
    </row>
    <row r="107" spans="1:22">
      <c r="A107" t="s">
        <v>478</v>
      </c>
      <c r="B107" s="104">
        <f>211.6+44.6</f>
        <v>256.2</v>
      </c>
      <c r="C107" s="104" t="s">
        <v>237</v>
      </c>
      <c r="E107" t="s">
        <v>98</v>
      </c>
      <c r="U107" t="s">
        <v>754</v>
      </c>
    </row>
    <row r="108" spans="1:22">
      <c r="A108" s="3"/>
      <c r="B108" s="104"/>
      <c r="C108" s="104"/>
    </row>
    <row r="109" spans="1:22">
      <c r="A109" s="2" t="s">
        <v>334</v>
      </c>
      <c r="B109" s="46"/>
      <c r="C109" s="46"/>
    </row>
    <row r="110" spans="1:22">
      <c r="A110" s="103" t="s">
        <v>335</v>
      </c>
      <c r="B110" s="46">
        <f>'SA $ by prov 10-11'!B12*0.45</f>
        <v>1303.5600000000002</v>
      </c>
      <c r="C110" s="46" t="s">
        <v>437</v>
      </c>
      <c r="E110" s="150" t="s">
        <v>561</v>
      </c>
    </row>
    <row r="111" spans="1:22">
      <c r="A111" s="39"/>
      <c r="B111" s="46"/>
      <c r="C111" s="46"/>
      <c r="D111" s="39"/>
      <c r="E111" s="150" t="s">
        <v>577</v>
      </c>
      <c r="U111" s="38" t="s">
        <v>188</v>
      </c>
    </row>
    <row r="112" spans="1:22">
      <c r="A112" s="39" t="s">
        <v>12</v>
      </c>
      <c r="B112" s="143">
        <f>61.5*0.55</f>
        <v>33.825000000000003</v>
      </c>
      <c r="C112" s="143" t="s">
        <v>237</v>
      </c>
      <c r="D112" s="39"/>
      <c r="E112" s="278" t="s">
        <v>798</v>
      </c>
      <c r="U112" s="52" t="s">
        <v>789</v>
      </c>
    </row>
    <row r="113" spans="1:21">
      <c r="A113" s="258" t="s">
        <v>24</v>
      </c>
      <c r="B113" s="138">
        <f>SUM(B110:B112)</f>
        <v>1337.3850000000002</v>
      </c>
      <c r="C113" s="138" t="s">
        <v>237</v>
      </c>
      <c r="D113" s="39"/>
      <c r="E113" s="39"/>
    </row>
    <row r="114" spans="1:21">
      <c r="A114" s="258"/>
      <c r="B114" s="104"/>
      <c r="C114" s="104"/>
      <c r="D114" s="39"/>
      <c r="E114" s="39"/>
    </row>
    <row r="115" spans="1:21">
      <c r="A115" s="50" t="s">
        <v>13</v>
      </c>
      <c r="B115" s="46"/>
      <c r="C115" s="46"/>
      <c r="D115" s="39"/>
      <c r="E115" s="39"/>
    </row>
    <row r="116" spans="1:21">
      <c r="A116" s="39" t="s">
        <v>7</v>
      </c>
      <c r="B116" s="46">
        <v>1350.4</v>
      </c>
      <c r="C116" s="46"/>
      <c r="D116" s="39"/>
      <c r="E116" s="39" t="s">
        <v>215</v>
      </c>
      <c r="U116" s="145" t="s">
        <v>205</v>
      </c>
    </row>
    <row r="117" spans="1:21">
      <c r="A117" s="39" t="s">
        <v>8</v>
      </c>
      <c r="B117" s="46"/>
      <c r="C117" s="46"/>
      <c r="D117" s="39"/>
      <c r="E117" s="39" t="s">
        <v>167</v>
      </c>
      <c r="U117" s="39" t="s">
        <v>206</v>
      </c>
    </row>
    <row r="118" spans="1:21">
      <c r="A118" s="258" t="s">
        <v>57</v>
      </c>
      <c r="B118" s="104">
        <f>SUM(B116:B117)</f>
        <v>1350.4</v>
      </c>
      <c r="C118" s="104"/>
      <c r="D118" s="39"/>
      <c r="E118" s="39"/>
    </row>
    <row r="119" spans="1:21">
      <c r="A119" s="258"/>
      <c r="B119" s="104"/>
      <c r="C119" s="104"/>
      <c r="D119" s="39"/>
      <c r="E119" s="39"/>
    </row>
    <row r="120" spans="1:21">
      <c r="A120" s="39" t="s">
        <v>64</v>
      </c>
      <c r="B120" s="46"/>
      <c r="C120" s="46"/>
      <c r="D120" s="39"/>
      <c r="E120" s="39"/>
    </row>
    <row r="121" spans="1:21">
      <c r="A121" s="39" t="s">
        <v>9</v>
      </c>
      <c r="B121" s="46">
        <v>307</v>
      </c>
      <c r="C121" s="46"/>
      <c r="D121" s="39"/>
      <c r="E121" s="39" t="s">
        <v>207</v>
      </c>
      <c r="T121" t="s">
        <v>418</v>
      </c>
      <c r="U121" t="s">
        <v>75</v>
      </c>
    </row>
    <row r="122" spans="1:21">
      <c r="A122" s="39" t="s">
        <v>10</v>
      </c>
      <c r="B122" s="46">
        <v>945</v>
      </c>
      <c r="C122" s="46"/>
      <c r="D122" s="39"/>
      <c r="E122" s="39" t="s">
        <v>207</v>
      </c>
    </row>
    <row r="123" spans="1:21">
      <c r="A123" s="258" t="s">
        <v>24</v>
      </c>
      <c r="B123" s="104">
        <f>SUM(B121:B122)</f>
        <v>1252</v>
      </c>
      <c r="C123" s="104"/>
      <c r="D123" s="39"/>
      <c r="E123" s="39" t="s">
        <v>429</v>
      </c>
    </row>
    <row r="124" spans="1:21">
      <c r="A124" s="39"/>
      <c r="B124" s="46"/>
      <c r="C124" s="46"/>
      <c r="D124" s="39"/>
      <c r="E124" s="39"/>
    </row>
    <row r="125" spans="1:21" ht="15.75">
      <c r="A125" s="48" t="s">
        <v>23</v>
      </c>
      <c r="B125" s="139">
        <f>SUM(B99+B105+B107+B112+B110+B118+B123)</f>
        <v>5771.867400000001</v>
      </c>
      <c r="C125" s="139" t="s">
        <v>237</v>
      </c>
      <c r="D125" s="39"/>
      <c r="E125" s="39"/>
    </row>
    <row r="126" spans="1:21">
      <c r="A126" s="39"/>
      <c r="B126" s="39"/>
      <c r="C126" s="39"/>
      <c r="D126" s="39"/>
      <c r="E126" s="39"/>
    </row>
    <row r="127" spans="1:21">
      <c r="A127" s="106" t="s">
        <v>677</v>
      </c>
      <c r="B127" s="39"/>
      <c r="C127" s="39"/>
      <c r="D127" s="39"/>
      <c r="E127" s="39"/>
    </row>
    <row r="128" spans="1:21">
      <c r="A128" s="106"/>
    </row>
    <row r="129" spans="1:21">
      <c r="A129" s="106"/>
    </row>
    <row r="130" spans="1:21">
      <c r="A130" s="106"/>
    </row>
    <row r="131" spans="1:21">
      <c r="B131" s="41" t="s">
        <v>416</v>
      </c>
      <c r="C131" s="41"/>
    </row>
    <row r="132" spans="1:21">
      <c r="B132" s="41" t="s">
        <v>689</v>
      </c>
      <c r="C132" s="41"/>
    </row>
    <row r="133" spans="1:21">
      <c r="B133" s="41" t="s">
        <v>16</v>
      </c>
      <c r="C133" s="41"/>
    </row>
    <row r="134" spans="1:21">
      <c r="A134" s="2" t="s">
        <v>11</v>
      </c>
      <c r="B134" s="106"/>
      <c r="C134" s="106"/>
    </row>
    <row r="135" spans="1:21">
      <c r="B135" s="106"/>
      <c r="C135" s="106"/>
    </row>
    <row r="136" spans="1:21">
      <c r="A136" t="s">
        <v>0</v>
      </c>
      <c r="B136" s="143">
        <f>'CAN Disability details 11-12'!B6*0.233</f>
        <v>157.27500000000001</v>
      </c>
      <c r="C136" s="46"/>
      <c r="D136" s="257" t="s">
        <v>217</v>
      </c>
      <c r="E136" s="52" t="s">
        <v>811</v>
      </c>
      <c r="R136" s="145"/>
      <c r="S136" s="145"/>
      <c r="T136" s="145"/>
      <c r="U136" s="145" t="s">
        <v>810</v>
      </c>
    </row>
    <row r="137" spans="1:21">
      <c r="A137" t="s">
        <v>1</v>
      </c>
      <c r="B137" s="143">
        <f>'CAN Disability details 11-12'!B7*0.233</f>
        <v>264.45500000000004</v>
      </c>
      <c r="C137" s="46"/>
      <c r="D137" s="257" t="s">
        <v>217</v>
      </c>
      <c r="E137" s="52" t="s">
        <v>757</v>
      </c>
      <c r="I137" t="s">
        <v>93</v>
      </c>
      <c r="R137" s="39"/>
      <c r="S137" s="39"/>
      <c r="T137" s="39"/>
      <c r="U137" s="39" t="s">
        <v>752</v>
      </c>
    </row>
    <row r="138" spans="1:21">
      <c r="A138" t="s">
        <v>14</v>
      </c>
      <c r="B138" s="46">
        <f>'CAN Disability details 11-12'!B8*0.233</f>
        <v>24.465</v>
      </c>
      <c r="C138" s="46"/>
      <c r="D138" s="257" t="s">
        <v>217</v>
      </c>
      <c r="E138" s="52" t="s">
        <v>765</v>
      </c>
    </row>
    <row r="139" spans="1:21">
      <c r="A139" t="s">
        <v>2</v>
      </c>
      <c r="B139" s="46">
        <f>'CAN Disability details 11-12'!B9*0.233</f>
        <v>1.165</v>
      </c>
      <c r="C139" s="46"/>
      <c r="D139" s="257" t="s">
        <v>217</v>
      </c>
    </row>
    <row r="140" spans="1:21">
      <c r="A140" t="s">
        <v>68</v>
      </c>
      <c r="B140" s="46">
        <f>'CAN Disability details 11-12'!B10*0.233</f>
        <v>0</v>
      </c>
      <c r="C140" s="46"/>
      <c r="D140" s="257" t="s">
        <v>217</v>
      </c>
      <c r="E140" s="7"/>
    </row>
    <row r="141" spans="1:21">
      <c r="A141" t="s">
        <v>3</v>
      </c>
      <c r="B141" s="143">
        <f>'CAN Disability details 11-12'!B11*0.233</f>
        <v>31.455000000000002</v>
      </c>
      <c r="C141" s="46"/>
      <c r="D141" s="257" t="s">
        <v>217</v>
      </c>
      <c r="E141" s="7"/>
    </row>
    <row r="142" spans="1:21">
      <c r="A142" t="s">
        <v>15</v>
      </c>
      <c r="B142" s="143">
        <f>'CAN Disability details 11-12'!B12*0.233</f>
        <v>59.056179999999998</v>
      </c>
      <c r="C142" s="46"/>
      <c r="D142" s="257" t="s">
        <v>217</v>
      </c>
      <c r="E142" s="248" t="s">
        <v>812</v>
      </c>
    </row>
    <row r="143" spans="1:21">
      <c r="A143" s="3" t="s">
        <v>24</v>
      </c>
      <c r="B143" s="138">
        <f>SUM(B136:B142)</f>
        <v>537.87117999999998</v>
      </c>
      <c r="C143" s="104"/>
      <c r="E143" s="7"/>
    </row>
    <row r="144" spans="1:21">
      <c r="B144" s="46"/>
      <c r="C144" s="46"/>
    </row>
    <row r="145" spans="1:21">
      <c r="A145" s="2" t="s">
        <v>4</v>
      </c>
      <c r="B145" s="46"/>
      <c r="C145" s="46"/>
    </row>
    <row r="146" spans="1:21">
      <c r="A146" t="s">
        <v>5</v>
      </c>
      <c r="B146" s="46">
        <v>18.2</v>
      </c>
      <c r="C146" s="46"/>
      <c r="E146" s="52" t="s">
        <v>747</v>
      </c>
      <c r="F146" s="30"/>
      <c r="G146" s="30"/>
      <c r="H146" s="30"/>
      <c r="I146" s="30"/>
      <c r="J146" s="30"/>
      <c r="K146" s="30"/>
      <c r="L146" s="30"/>
      <c r="M146" s="30"/>
      <c r="N146" s="30"/>
      <c r="O146" s="30"/>
      <c r="P146" s="30"/>
      <c r="Q146" s="172"/>
      <c r="R146" s="39"/>
      <c r="S146" s="39"/>
      <c r="T146" s="39"/>
      <c r="U146" s="39" t="s">
        <v>693</v>
      </c>
    </row>
    <row r="147" spans="1:21">
      <c r="A147" t="s">
        <v>69</v>
      </c>
      <c r="B147" s="105">
        <v>755.4</v>
      </c>
      <c r="C147" s="105"/>
      <c r="E147" s="321" t="s">
        <v>748</v>
      </c>
      <c r="F147" s="321"/>
      <c r="G147" s="321"/>
      <c r="H147" s="321"/>
      <c r="I147" s="321"/>
      <c r="J147" s="321"/>
      <c r="K147" s="321"/>
      <c r="L147" s="321"/>
      <c r="M147" s="321"/>
      <c r="N147" s="321"/>
      <c r="O147" s="321"/>
      <c r="P147" s="321"/>
      <c r="Q147" s="172"/>
      <c r="R147" s="39"/>
      <c r="S147" s="39"/>
      <c r="T147" s="39"/>
      <c r="U147" s="39" t="s">
        <v>693</v>
      </c>
    </row>
    <row r="148" spans="1:21">
      <c r="A148" t="s">
        <v>6</v>
      </c>
      <c r="B148" s="114">
        <v>313</v>
      </c>
      <c r="C148" s="114"/>
      <c r="D148" s="103"/>
      <c r="E148" s="120" t="s">
        <v>694</v>
      </c>
      <c r="F148" s="103"/>
      <c r="G148" s="103"/>
      <c r="H148" s="103"/>
      <c r="I148" s="103"/>
      <c r="J148" s="103"/>
      <c r="K148" s="103"/>
      <c r="L148" s="103"/>
      <c r="M148" s="103"/>
      <c r="N148" s="103"/>
      <c r="O148" s="103"/>
      <c r="P148" s="103"/>
      <c r="Q148" s="111"/>
      <c r="R148" s="145"/>
      <c r="S148" s="145"/>
      <c r="T148" s="145"/>
      <c r="U148" s="145" t="s">
        <v>519</v>
      </c>
    </row>
    <row r="149" spans="1:21">
      <c r="A149" s="3" t="s">
        <v>24</v>
      </c>
      <c r="B149" s="112">
        <f>SUM(B146:B148)</f>
        <v>1086.5999999999999</v>
      </c>
      <c r="C149" s="112"/>
      <c r="D149" s="103"/>
      <c r="E149" s="103"/>
      <c r="F149" s="103"/>
      <c r="G149" s="103"/>
      <c r="H149" s="103"/>
      <c r="I149" s="103"/>
      <c r="J149" s="103"/>
      <c r="K149" s="103"/>
      <c r="L149" s="103"/>
      <c r="M149" s="103"/>
      <c r="N149" s="103"/>
      <c r="O149" s="103"/>
      <c r="P149" s="103"/>
      <c r="Q149" s="103"/>
    </row>
    <row r="150" spans="1:21">
      <c r="B150" s="114"/>
      <c r="C150" s="114"/>
      <c r="D150" s="103"/>
      <c r="E150" s="103"/>
      <c r="F150" s="103"/>
      <c r="G150" s="103"/>
      <c r="H150" s="103"/>
      <c r="I150" s="103"/>
      <c r="J150" s="103"/>
      <c r="K150" s="103"/>
      <c r="L150" s="103"/>
      <c r="M150" s="103"/>
      <c r="N150" s="103"/>
      <c r="O150" s="103"/>
      <c r="P150" s="103"/>
      <c r="Q150" s="103"/>
    </row>
    <row r="151" spans="1:21">
      <c r="A151" t="s">
        <v>478</v>
      </c>
      <c r="B151" s="104">
        <f>214.2+46.9</f>
        <v>261.09999999999997</v>
      </c>
      <c r="C151" s="104"/>
      <c r="E151" t="s">
        <v>98</v>
      </c>
      <c r="U151" t="s">
        <v>754</v>
      </c>
    </row>
    <row r="152" spans="1:21">
      <c r="A152" s="3"/>
      <c r="B152" s="104"/>
      <c r="C152" s="104"/>
    </row>
    <row r="153" spans="1:21">
      <c r="A153" s="2" t="s">
        <v>334</v>
      </c>
      <c r="B153" s="46"/>
      <c r="C153" s="46"/>
    </row>
    <row r="154" spans="1:21">
      <c r="A154" s="39" t="s">
        <v>335</v>
      </c>
      <c r="B154" s="46">
        <f>'SA $ by prov 11-12'!B81</f>
        <v>1315.0183639398997</v>
      </c>
      <c r="C154" s="46" t="s">
        <v>437</v>
      </c>
      <c r="D154" s="39"/>
      <c r="E154" s="150" t="s">
        <v>727</v>
      </c>
      <c r="U154" s="38" t="s">
        <v>740</v>
      </c>
    </row>
    <row r="155" spans="1:21">
      <c r="A155" s="39"/>
      <c r="B155" s="46"/>
      <c r="C155" s="46"/>
      <c r="D155" s="39"/>
      <c r="E155" s="150" t="s">
        <v>577</v>
      </c>
    </row>
    <row r="156" spans="1:21">
      <c r="A156" s="39" t="s">
        <v>12</v>
      </c>
      <c r="B156" s="46">
        <f>63.5*0.55</f>
        <v>34.925000000000004</v>
      </c>
      <c r="C156" s="46" t="s">
        <v>437</v>
      </c>
      <c r="D156" s="39"/>
      <c r="E156" s="278" t="s">
        <v>798</v>
      </c>
      <c r="U156" s="52" t="s">
        <v>789</v>
      </c>
    </row>
    <row r="157" spans="1:21">
      <c r="A157" s="258" t="s">
        <v>24</v>
      </c>
      <c r="B157" s="104">
        <f>SUM(B154:B156)</f>
        <v>1349.9433639398997</v>
      </c>
      <c r="C157" s="104" t="s">
        <v>437</v>
      </c>
      <c r="D157" s="39"/>
      <c r="E157" s="39"/>
    </row>
    <row r="158" spans="1:21">
      <c r="A158" s="258"/>
      <c r="B158" s="104"/>
      <c r="C158" s="104"/>
      <c r="D158" s="39"/>
      <c r="E158" s="39"/>
    </row>
    <row r="159" spans="1:21">
      <c r="A159" s="50" t="s">
        <v>13</v>
      </c>
      <c r="B159" s="46"/>
      <c r="C159" s="46"/>
      <c r="D159" s="39"/>
      <c r="E159" s="39"/>
    </row>
    <row r="160" spans="1:21">
      <c r="A160" s="39" t="s">
        <v>7</v>
      </c>
      <c r="B160" s="46">
        <v>1364.6</v>
      </c>
      <c r="C160" s="46"/>
      <c r="D160" s="39"/>
      <c r="E160" s="39" t="s">
        <v>215</v>
      </c>
      <c r="U160" s="145" t="s">
        <v>205</v>
      </c>
    </row>
    <row r="161" spans="1:21">
      <c r="A161" s="39" t="s">
        <v>8</v>
      </c>
      <c r="B161" s="46"/>
      <c r="C161" s="46"/>
      <c r="D161" s="39"/>
      <c r="E161" s="39" t="s">
        <v>167</v>
      </c>
      <c r="U161" s="39" t="s">
        <v>206</v>
      </c>
    </row>
    <row r="162" spans="1:21">
      <c r="A162" s="258" t="s">
        <v>57</v>
      </c>
      <c r="B162" s="104">
        <f>SUM(B160:B161)</f>
        <v>1364.6</v>
      </c>
      <c r="C162" s="104"/>
      <c r="D162" s="39"/>
      <c r="E162" s="39"/>
    </row>
    <row r="163" spans="1:21">
      <c r="A163" s="258"/>
      <c r="B163" s="104"/>
      <c r="C163" s="104"/>
      <c r="D163" s="39"/>
      <c r="E163" s="39"/>
    </row>
    <row r="164" spans="1:21">
      <c r="A164" s="39" t="s">
        <v>64</v>
      </c>
      <c r="B164" s="46"/>
      <c r="C164" s="46"/>
      <c r="D164" s="39"/>
      <c r="E164" s="39"/>
    </row>
    <row r="165" spans="1:21">
      <c r="A165" s="39" t="s">
        <v>9</v>
      </c>
      <c r="B165" s="46">
        <v>318</v>
      </c>
      <c r="C165" s="46"/>
      <c r="D165" s="39"/>
      <c r="E165" s="39" t="s">
        <v>207</v>
      </c>
      <c r="U165" s="52" t="s">
        <v>762</v>
      </c>
    </row>
    <row r="166" spans="1:21">
      <c r="A166" s="39" t="s">
        <v>10</v>
      </c>
      <c r="B166" s="46">
        <v>971</v>
      </c>
      <c r="C166" s="46"/>
      <c r="D166" s="39"/>
      <c r="E166" s="39" t="s">
        <v>207</v>
      </c>
      <c r="U166" t="s">
        <v>692</v>
      </c>
    </row>
    <row r="167" spans="1:21">
      <c r="A167" s="258" t="s">
        <v>24</v>
      </c>
      <c r="B167" s="104">
        <f>SUM(B165:B166)</f>
        <v>1289</v>
      </c>
      <c r="C167" s="104"/>
      <c r="D167" s="39"/>
      <c r="E167" s="39" t="s">
        <v>429</v>
      </c>
    </row>
    <row r="168" spans="1:21">
      <c r="A168" s="39"/>
      <c r="B168" s="46"/>
      <c r="C168" s="46"/>
      <c r="D168" s="39"/>
      <c r="E168" s="39"/>
    </row>
    <row r="169" spans="1:21" ht="15.75">
      <c r="A169" s="48" t="s">
        <v>23</v>
      </c>
      <c r="B169" s="49">
        <f>SUM(B143+B149+B151+B156+B154+B162+B167)</f>
        <v>5889.1145439398988</v>
      </c>
      <c r="C169" s="49"/>
      <c r="D169" s="39"/>
      <c r="E169" s="39"/>
    </row>
    <row r="170" spans="1:21" ht="15.75">
      <c r="A170" s="48"/>
      <c r="B170" s="49"/>
      <c r="C170" s="49"/>
      <c r="D170" s="39"/>
      <c r="E170" s="39"/>
    </row>
    <row r="171" spans="1:21" ht="15.75">
      <c r="A171" s="106" t="s">
        <v>677</v>
      </c>
      <c r="B171" s="49"/>
      <c r="C171" s="49"/>
      <c r="D171" s="39"/>
      <c r="E171" s="39"/>
    </row>
    <row r="172" spans="1:21" ht="15.75">
      <c r="A172" s="48"/>
      <c r="B172" s="49"/>
      <c r="C172" s="49"/>
      <c r="D172" s="39"/>
      <c r="E172" s="39"/>
    </row>
    <row r="173" spans="1:21">
      <c r="B173" s="41" t="s">
        <v>416</v>
      </c>
      <c r="C173" s="41"/>
    </row>
    <row r="174" spans="1:21">
      <c r="B174" s="41" t="s">
        <v>823</v>
      </c>
      <c r="C174" s="41"/>
    </row>
    <row r="175" spans="1:21">
      <c r="B175" s="41" t="s">
        <v>16</v>
      </c>
      <c r="C175" s="41"/>
    </row>
    <row r="176" spans="1:21">
      <c r="A176" s="2" t="s">
        <v>11</v>
      </c>
      <c r="B176" s="106"/>
      <c r="C176" s="106"/>
    </row>
    <row r="177" spans="1:16">
      <c r="B177" s="106"/>
      <c r="C177" s="106"/>
    </row>
    <row r="178" spans="1:16">
      <c r="A178" t="s">
        <v>0</v>
      </c>
      <c r="B178" s="46">
        <f>'CAN Disability details 12-13'!B6*0.233</f>
        <v>160.77000000000001</v>
      </c>
      <c r="C178" s="46"/>
      <c r="D178" s="302" t="s">
        <v>217</v>
      </c>
      <c r="E178" s="52" t="s">
        <v>811</v>
      </c>
    </row>
    <row r="179" spans="1:16">
      <c r="A179" t="s">
        <v>1</v>
      </c>
      <c r="B179" s="46">
        <f>'CAN Disability details 12-13'!B7*0.233</f>
        <v>279.60000000000002</v>
      </c>
      <c r="C179" s="46"/>
      <c r="D179" s="302" t="s">
        <v>217</v>
      </c>
      <c r="E179" s="52" t="s">
        <v>757</v>
      </c>
      <c r="I179" t="s">
        <v>93</v>
      </c>
    </row>
    <row r="180" spans="1:16">
      <c r="A180" t="s">
        <v>14</v>
      </c>
      <c r="B180" s="46">
        <f>'CAN Disability details 12-13'!B8*0.233</f>
        <v>24.465</v>
      </c>
      <c r="C180" s="46"/>
      <c r="D180" s="302" t="s">
        <v>217</v>
      </c>
      <c r="E180" s="52" t="s">
        <v>765</v>
      </c>
    </row>
    <row r="181" spans="1:16">
      <c r="A181" t="s">
        <v>2</v>
      </c>
      <c r="B181" s="46">
        <f>'CAN Disability details 12-13'!B9*0.233</f>
        <v>1.165</v>
      </c>
      <c r="C181" s="46"/>
      <c r="D181" s="302" t="s">
        <v>217</v>
      </c>
    </row>
    <row r="182" spans="1:16">
      <c r="A182" t="s">
        <v>68</v>
      </c>
      <c r="B182" s="46">
        <f>'CAN Disability details 12-13'!B10*0.233</f>
        <v>0</v>
      </c>
      <c r="C182" s="46"/>
      <c r="D182" s="302" t="s">
        <v>217</v>
      </c>
      <c r="E182" s="7"/>
    </row>
    <row r="183" spans="1:16">
      <c r="A183" t="s">
        <v>3</v>
      </c>
      <c r="B183" s="46">
        <f>'CAN Disability details 12-13'!B11*0.233</f>
        <v>32.620000000000005</v>
      </c>
      <c r="C183" s="46"/>
      <c r="D183" s="302" t="s">
        <v>217</v>
      </c>
      <c r="E183" s="7"/>
    </row>
    <row r="184" spans="1:16">
      <c r="A184" t="s">
        <v>15</v>
      </c>
      <c r="B184" s="46">
        <f>'CAN Disability details 12-13'!B12*0.233</f>
        <v>61.623840000000008</v>
      </c>
      <c r="C184" s="46"/>
      <c r="D184" s="302" t="s">
        <v>217</v>
      </c>
      <c r="E184" s="248" t="s">
        <v>901</v>
      </c>
    </row>
    <row r="185" spans="1:16">
      <c r="A185" s="3" t="s">
        <v>24</v>
      </c>
      <c r="B185" s="104">
        <f>SUM(B178:B184)</f>
        <v>560.24383999999998</v>
      </c>
      <c r="C185" s="104"/>
      <c r="E185" s="7"/>
    </row>
    <row r="186" spans="1:16">
      <c r="B186" s="46"/>
      <c r="C186" s="46"/>
    </row>
    <row r="187" spans="1:16">
      <c r="A187" s="2" t="s">
        <v>4</v>
      </c>
      <c r="B187" s="46"/>
      <c r="C187" s="46"/>
    </row>
    <row r="188" spans="1:16">
      <c r="A188" t="s">
        <v>5</v>
      </c>
      <c r="B188" s="46">
        <v>18</v>
      </c>
      <c r="C188" s="46"/>
      <c r="E188" s="52" t="s">
        <v>747</v>
      </c>
      <c r="F188" s="30"/>
      <c r="G188" s="30"/>
      <c r="H188" s="30"/>
      <c r="I188" s="30"/>
      <c r="J188" s="30"/>
      <c r="K188" s="30"/>
      <c r="L188" s="30"/>
      <c r="M188" s="30"/>
      <c r="N188" s="30"/>
      <c r="O188" s="30"/>
      <c r="P188" s="30"/>
    </row>
    <row r="189" spans="1:16" ht="24.75" customHeight="1">
      <c r="A189" t="s">
        <v>69</v>
      </c>
      <c r="B189" s="105">
        <v>779.1</v>
      </c>
      <c r="C189" s="105"/>
      <c r="E189" s="321" t="s">
        <v>748</v>
      </c>
      <c r="F189" s="321"/>
      <c r="G189" s="321"/>
      <c r="H189" s="321"/>
      <c r="I189" s="321"/>
      <c r="J189" s="321"/>
      <c r="K189" s="321"/>
      <c r="L189" s="321"/>
      <c r="M189" s="321"/>
      <c r="N189" s="300"/>
      <c r="O189" s="300"/>
      <c r="P189" s="300"/>
    </row>
    <row r="190" spans="1:16">
      <c r="A190" t="s">
        <v>6</v>
      </c>
      <c r="B190" s="114">
        <v>346</v>
      </c>
      <c r="C190" s="114"/>
      <c r="D190" s="103"/>
      <c r="E190" s="120" t="s">
        <v>694</v>
      </c>
      <c r="F190" s="103"/>
      <c r="G190" s="103"/>
      <c r="H190" s="103"/>
      <c r="I190" s="103"/>
      <c r="J190" s="103"/>
      <c r="K190" s="103"/>
      <c r="L190" s="103"/>
      <c r="M190" s="103"/>
      <c r="N190" s="103"/>
      <c r="O190" s="103"/>
      <c r="P190" s="103"/>
    </row>
    <row r="191" spans="1:16">
      <c r="A191" s="3" t="s">
        <v>24</v>
      </c>
      <c r="B191" s="112">
        <f>SUM(B188:B190)</f>
        <v>1143.0999999999999</v>
      </c>
      <c r="C191" s="112"/>
      <c r="D191" s="103"/>
      <c r="E191" s="103"/>
      <c r="F191" s="103"/>
      <c r="G191" s="103"/>
      <c r="H191" s="103"/>
      <c r="I191" s="103"/>
      <c r="J191" s="103"/>
      <c r="K191" s="103"/>
      <c r="L191" s="103"/>
      <c r="M191" s="103"/>
      <c r="N191" s="103"/>
      <c r="O191" s="103"/>
      <c r="P191" s="103"/>
    </row>
    <row r="192" spans="1:16">
      <c r="A192" s="3"/>
      <c r="B192" s="112"/>
      <c r="C192" s="112"/>
      <c r="D192" s="103"/>
      <c r="E192" s="103"/>
      <c r="F192" s="103"/>
      <c r="G192" s="103"/>
      <c r="H192" s="103"/>
      <c r="I192" s="103"/>
      <c r="J192" s="103"/>
      <c r="K192" s="103"/>
      <c r="L192" s="103"/>
      <c r="M192" s="103"/>
      <c r="N192" s="103"/>
      <c r="O192" s="103"/>
      <c r="P192" s="103"/>
    </row>
    <row r="193" spans="1:16">
      <c r="A193" s="52" t="s">
        <v>101</v>
      </c>
      <c r="B193" s="46">
        <v>206.7</v>
      </c>
      <c r="C193" s="112"/>
      <c r="D193" s="103"/>
      <c r="E193" s="103"/>
      <c r="F193" s="103"/>
      <c r="G193" s="103"/>
      <c r="H193" s="103"/>
      <c r="I193" s="103"/>
      <c r="J193" s="103"/>
      <c r="K193" s="103"/>
      <c r="L193" s="103"/>
      <c r="M193" s="103"/>
      <c r="N193" s="103"/>
      <c r="O193" s="103"/>
      <c r="P193" s="103"/>
    </row>
    <row r="194" spans="1:16">
      <c r="A194" s="52" t="s">
        <v>709</v>
      </c>
      <c r="B194" s="46">
        <v>61.8</v>
      </c>
      <c r="C194" s="114"/>
      <c r="D194" s="103"/>
      <c r="E194" s="103"/>
      <c r="F194" s="103"/>
      <c r="G194" s="103"/>
      <c r="H194" s="103"/>
      <c r="I194" s="103"/>
      <c r="J194" s="103"/>
      <c r="K194" s="103"/>
      <c r="L194" s="103"/>
      <c r="M194" s="103"/>
      <c r="N194" s="103"/>
      <c r="O194" s="103"/>
      <c r="P194" s="103"/>
    </row>
    <row r="195" spans="1:16">
      <c r="A195" s="2" t="s">
        <v>478</v>
      </c>
      <c r="B195" s="104">
        <f>SUM(B193:B194)</f>
        <v>268.5</v>
      </c>
      <c r="C195" s="104"/>
      <c r="E195" t="s">
        <v>98</v>
      </c>
    </row>
    <row r="196" spans="1:16">
      <c r="A196" s="3"/>
      <c r="B196" s="104"/>
      <c r="C196" s="104"/>
    </row>
    <row r="197" spans="1:16">
      <c r="A197" s="2" t="s">
        <v>334</v>
      </c>
      <c r="B197" s="46"/>
      <c r="C197" s="46"/>
    </row>
    <row r="198" spans="1:16">
      <c r="A198" s="39" t="s">
        <v>335</v>
      </c>
      <c r="B198" s="46">
        <f>'SA $ by prov 12-13'!B85</f>
        <v>1337.294361525705</v>
      </c>
      <c r="C198" s="46" t="s">
        <v>437</v>
      </c>
      <c r="D198" s="39"/>
      <c r="E198" s="262" t="s">
        <v>979</v>
      </c>
    </row>
    <row r="199" spans="1:16">
      <c r="A199" s="39"/>
      <c r="B199" s="46"/>
      <c r="C199" s="46"/>
      <c r="D199" s="39"/>
      <c r="E199" s="262" t="s">
        <v>978</v>
      </c>
    </row>
    <row r="200" spans="1:16">
      <c r="A200" s="39" t="s">
        <v>12</v>
      </c>
      <c r="B200" s="46">
        <f>65.5*0.57</f>
        <v>37.334999999999994</v>
      </c>
      <c r="C200" s="46" t="s">
        <v>437</v>
      </c>
      <c r="D200" s="39"/>
      <c r="E200" s="278" t="s">
        <v>980</v>
      </c>
    </row>
    <row r="201" spans="1:16">
      <c r="A201" s="258" t="s">
        <v>24</v>
      </c>
      <c r="B201" s="104">
        <f>SUM(B198:B200)</f>
        <v>1374.629361525705</v>
      </c>
      <c r="C201" s="104" t="s">
        <v>437</v>
      </c>
      <c r="D201" s="39"/>
      <c r="E201" s="39"/>
    </row>
    <row r="202" spans="1:16">
      <c r="A202" s="258"/>
      <c r="B202" s="104"/>
      <c r="C202" s="104"/>
      <c r="D202" s="39"/>
      <c r="E202" s="39"/>
    </row>
    <row r="203" spans="1:16">
      <c r="A203" s="50" t="s">
        <v>13</v>
      </c>
      <c r="B203" s="46"/>
      <c r="C203" s="46"/>
      <c r="D203" s="39"/>
      <c r="E203" s="39"/>
    </row>
    <row r="204" spans="1:16">
      <c r="A204" s="39" t="s">
        <v>7</v>
      </c>
      <c r="B204" s="46">
        <v>1385</v>
      </c>
      <c r="C204" s="46"/>
      <c r="D204" s="39"/>
      <c r="E204" s="106" t="s">
        <v>973</v>
      </c>
    </row>
    <row r="205" spans="1:16">
      <c r="A205" s="39" t="s">
        <v>8</v>
      </c>
      <c r="B205" s="46"/>
      <c r="C205" s="46"/>
      <c r="D205" s="39"/>
      <c r="E205" s="39" t="s">
        <v>167</v>
      </c>
    </row>
    <row r="206" spans="1:16">
      <c r="A206" s="258" t="s">
        <v>57</v>
      </c>
      <c r="B206" s="104">
        <f>SUM(B204:B205)</f>
        <v>1385</v>
      </c>
      <c r="C206" s="104"/>
      <c r="D206" s="39"/>
      <c r="E206" s="39"/>
    </row>
    <row r="207" spans="1:16">
      <c r="A207" s="258"/>
      <c r="B207" s="104"/>
      <c r="C207" s="104"/>
      <c r="D207" s="39"/>
      <c r="E207" s="39"/>
    </row>
    <row r="208" spans="1:16">
      <c r="A208" s="39" t="s">
        <v>64</v>
      </c>
      <c r="B208" s="46"/>
      <c r="C208" s="46"/>
      <c r="D208" s="39"/>
      <c r="E208" s="39"/>
    </row>
    <row r="209" spans="1:9">
      <c r="A209" s="39" t="s">
        <v>9</v>
      </c>
      <c r="B209" s="46">
        <v>338</v>
      </c>
      <c r="C209" s="46"/>
      <c r="D209" s="39"/>
      <c r="E209" s="106" t="s">
        <v>961</v>
      </c>
    </row>
    <row r="210" spans="1:9">
      <c r="A210" s="39" t="s">
        <v>10</v>
      </c>
      <c r="B210" s="46">
        <v>1031</v>
      </c>
      <c r="C210" s="46"/>
      <c r="D210" s="39"/>
      <c r="E210" s="106" t="s">
        <v>961</v>
      </c>
    </row>
    <row r="211" spans="1:9">
      <c r="A211" s="258" t="s">
        <v>24</v>
      </c>
      <c r="B211" s="104">
        <f>SUM(B209:B210)</f>
        <v>1369</v>
      </c>
      <c r="C211" s="104"/>
      <c r="D211" s="39"/>
      <c r="E211" s="39" t="s">
        <v>429</v>
      </c>
    </row>
    <row r="212" spans="1:9">
      <c r="A212" s="39"/>
      <c r="B212" s="46"/>
      <c r="C212" s="46"/>
      <c r="D212" s="39"/>
      <c r="E212" s="39"/>
    </row>
    <row r="213" spans="1:9" ht="15.75">
      <c r="A213" s="48" t="s">
        <v>23</v>
      </c>
      <c r="B213" s="49">
        <f>SUM(B185+B191+B195+B201+B206+B211)</f>
        <v>6100.473201525705</v>
      </c>
      <c r="C213" s="49"/>
      <c r="D213" s="39"/>
      <c r="E213" s="39"/>
    </row>
    <row r="214" spans="1:9" ht="15.75">
      <c r="A214" s="48"/>
      <c r="B214" s="49"/>
      <c r="C214" s="49"/>
      <c r="D214" s="39"/>
      <c r="E214" s="39"/>
    </row>
    <row r="215" spans="1:9" ht="15.75">
      <c r="A215" s="48"/>
      <c r="B215" s="49"/>
      <c r="C215" s="49"/>
      <c r="D215" s="39"/>
      <c r="E215" s="39"/>
    </row>
    <row r="216" spans="1:9">
      <c r="B216" s="41" t="s">
        <v>416</v>
      </c>
      <c r="C216" s="41"/>
    </row>
    <row r="217" spans="1:9">
      <c r="B217" s="41" t="s">
        <v>824</v>
      </c>
      <c r="C217" s="41"/>
    </row>
    <row r="218" spans="1:9">
      <c r="B218" s="41" t="s">
        <v>16</v>
      </c>
      <c r="C218" s="41"/>
    </row>
    <row r="219" spans="1:9">
      <c r="A219" s="2" t="s">
        <v>11</v>
      </c>
      <c r="B219" s="106"/>
      <c r="C219" s="106"/>
    </row>
    <row r="220" spans="1:9">
      <c r="B220" s="106"/>
      <c r="C220" s="106"/>
    </row>
    <row r="221" spans="1:9">
      <c r="A221" t="s">
        <v>0</v>
      </c>
      <c r="B221" s="46">
        <f>'CAN Disability detailes 13-14'!B6*0.232</f>
        <v>167.04000000000002</v>
      </c>
      <c r="C221" s="46"/>
      <c r="D221" s="302" t="s">
        <v>217</v>
      </c>
      <c r="E221" s="52" t="s">
        <v>811</v>
      </c>
    </row>
    <row r="222" spans="1:9">
      <c r="A222" t="s">
        <v>1</v>
      </c>
      <c r="B222" s="46">
        <f>'CAN Disability detailes 13-14'!B7*0.232</f>
        <v>300.44</v>
      </c>
      <c r="C222" s="46"/>
      <c r="D222" s="302" t="s">
        <v>217</v>
      </c>
      <c r="E222" s="52" t="s">
        <v>757</v>
      </c>
      <c r="I222" t="s">
        <v>93</v>
      </c>
    </row>
    <row r="223" spans="1:9">
      <c r="A223" t="s">
        <v>14</v>
      </c>
      <c r="B223" s="46">
        <f>'CAN Disability detailes 13-14'!B8*0.232</f>
        <v>25.52</v>
      </c>
      <c r="C223" s="46"/>
      <c r="D223" s="302" t="s">
        <v>217</v>
      </c>
      <c r="E223" s="52" t="s">
        <v>453</v>
      </c>
    </row>
    <row r="224" spans="1:9">
      <c r="A224" t="s">
        <v>2</v>
      </c>
      <c r="B224" s="46">
        <f>'CAN Disability detailes 13-14'!B9*0.232</f>
        <v>1.3920000000000001</v>
      </c>
      <c r="C224" s="46"/>
      <c r="D224" s="302" t="s">
        <v>217</v>
      </c>
    </row>
    <row r="225" spans="1:16">
      <c r="A225" t="s">
        <v>68</v>
      </c>
      <c r="B225" s="46">
        <f>'CAN Disability detailes 13-14'!B10*0.232</f>
        <v>0</v>
      </c>
      <c r="C225" s="46"/>
      <c r="D225" s="302" t="s">
        <v>217</v>
      </c>
      <c r="E225" s="7"/>
    </row>
    <row r="226" spans="1:16">
      <c r="A226" t="s">
        <v>3</v>
      </c>
      <c r="B226" s="46">
        <f>'CAN Disability detailes 13-14'!B11*0.232</f>
        <v>33.64</v>
      </c>
      <c r="C226" s="46"/>
      <c r="D226" s="302" t="s">
        <v>217</v>
      </c>
      <c r="E226" s="7"/>
    </row>
    <row r="227" spans="1:16">
      <c r="A227" t="s">
        <v>15</v>
      </c>
      <c r="B227" s="46">
        <f>'CAN Disability detailes 13-14'!B12*0.232</f>
        <v>56.984999999999999</v>
      </c>
      <c r="C227" s="46"/>
      <c r="D227" s="302" t="s">
        <v>217</v>
      </c>
      <c r="E227" s="248" t="s">
        <v>710</v>
      </c>
    </row>
    <row r="228" spans="1:16">
      <c r="A228" s="3" t="s">
        <v>24</v>
      </c>
      <c r="B228" s="104">
        <f>SUM(B221:B227)</f>
        <v>585.01700000000005</v>
      </c>
      <c r="C228" s="104"/>
      <c r="E228" s="7"/>
    </row>
    <row r="229" spans="1:16">
      <c r="B229" s="46"/>
      <c r="C229" s="46"/>
    </row>
    <row r="230" spans="1:16">
      <c r="A230" s="2" t="s">
        <v>4</v>
      </c>
      <c r="B230" s="46"/>
      <c r="C230" s="46"/>
    </row>
    <row r="231" spans="1:16">
      <c r="A231" t="s">
        <v>5</v>
      </c>
      <c r="B231" s="46">
        <v>18.2</v>
      </c>
      <c r="C231" s="46"/>
      <c r="E231" s="52" t="s">
        <v>747</v>
      </c>
      <c r="F231" s="30"/>
      <c r="G231" s="30"/>
      <c r="H231" s="30"/>
      <c r="I231" s="30"/>
      <c r="J231" s="30"/>
      <c r="K231" s="30"/>
      <c r="L231" s="30"/>
      <c r="M231" s="30"/>
      <c r="N231" s="30"/>
      <c r="O231" s="30"/>
      <c r="P231" s="30"/>
    </row>
    <row r="232" spans="1:16" ht="25.5" customHeight="1">
      <c r="A232" t="s">
        <v>69</v>
      </c>
      <c r="B232" s="105">
        <v>764.8</v>
      </c>
      <c r="C232" s="105"/>
      <c r="E232" s="321" t="s">
        <v>748</v>
      </c>
      <c r="F232" s="321"/>
      <c r="G232" s="321"/>
      <c r="H232" s="321"/>
      <c r="I232" s="321"/>
      <c r="J232" s="321"/>
      <c r="K232" s="321"/>
      <c r="L232" s="321"/>
      <c r="M232" s="321"/>
      <c r="N232" s="321"/>
      <c r="O232" s="300"/>
      <c r="P232" s="300"/>
    </row>
    <row r="233" spans="1:16">
      <c r="A233" t="s">
        <v>6</v>
      </c>
      <c r="B233" s="114">
        <v>362.4</v>
      </c>
      <c r="C233" s="114"/>
      <c r="D233" s="103"/>
      <c r="E233" s="120" t="s">
        <v>694</v>
      </c>
      <c r="F233" s="103"/>
      <c r="G233" s="103"/>
      <c r="H233" s="103"/>
      <c r="I233" s="103"/>
      <c r="J233" s="103"/>
      <c r="K233" s="103"/>
      <c r="L233" s="103"/>
      <c r="M233" s="103"/>
      <c r="N233" s="103"/>
      <c r="O233" s="103"/>
      <c r="P233" s="103"/>
    </row>
    <row r="234" spans="1:16">
      <c r="A234" s="3" t="s">
        <v>24</v>
      </c>
      <c r="B234" s="112">
        <f>SUM(B231:B233)</f>
        <v>1145.4000000000001</v>
      </c>
      <c r="C234" s="112"/>
      <c r="D234" s="103"/>
      <c r="E234" s="103"/>
      <c r="F234" s="103"/>
      <c r="G234" s="103"/>
      <c r="H234" s="103"/>
      <c r="I234" s="103"/>
      <c r="J234" s="103"/>
      <c r="K234" s="103"/>
      <c r="L234" s="103"/>
      <c r="M234" s="103"/>
      <c r="N234" s="103"/>
      <c r="O234" s="103"/>
      <c r="P234" s="103"/>
    </row>
    <row r="235" spans="1:16">
      <c r="A235" s="3"/>
      <c r="B235" s="112"/>
      <c r="C235" s="112"/>
      <c r="D235" s="103"/>
      <c r="E235" s="103"/>
      <c r="F235" s="103"/>
      <c r="G235" s="103"/>
      <c r="H235" s="103"/>
      <c r="I235" s="103"/>
      <c r="J235" s="103"/>
      <c r="K235" s="103"/>
      <c r="L235" s="103"/>
      <c r="M235" s="103"/>
      <c r="N235" s="103"/>
      <c r="O235" s="103"/>
      <c r="P235" s="103"/>
    </row>
    <row r="236" spans="1:16">
      <c r="A236" s="52" t="s">
        <v>101</v>
      </c>
      <c r="B236" s="114">
        <v>199.4</v>
      </c>
      <c r="C236" s="112"/>
      <c r="D236" s="103"/>
      <c r="E236" s="103"/>
      <c r="F236" s="103"/>
      <c r="G236" s="103"/>
      <c r="H236" s="103"/>
      <c r="I236" s="103"/>
      <c r="J236" s="103"/>
      <c r="K236" s="103"/>
      <c r="L236" s="103"/>
      <c r="M236" s="103"/>
      <c r="N236" s="103"/>
      <c r="O236" s="103"/>
      <c r="P236" s="103"/>
    </row>
    <row r="237" spans="1:16">
      <c r="A237" s="52" t="s">
        <v>709</v>
      </c>
      <c r="B237" s="114">
        <v>63.7</v>
      </c>
      <c r="C237" s="114"/>
      <c r="D237" s="103"/>
      <c r="E237" s="103"/>
      <c r="F237" s="103"/>
      <c r="G237" s="103"/>
      <c r="H237" s="103"/>
      <c r="I237" s="103"/>
      <c r="J237" s="103"/>
      <c r="K237" s="103"/>
      <c r="L237" s="103"/>
      <c r="M237" s="103"/>
      <c r="N237" s="103"/>
      <c r="O237" s="103"/>
      <c r="P237" s="103"/>
    </row>
    <row r="238" spans="1:16">
      <c r="A238" s="2" t="s">
        <v>478</v>
      </c>
      <c r="B238" s="104">
        <f>SUM(B236:B237)</f>
        <v>263.10000000000002</v>
      </c>
      <c r="C238" s="104"/>
      <c r="E238" t="s">
        <v>98</v>
      </c>
    </row>
    <row r="239" spans="1:16">
      <c r="A239" s="3"/>
      <c r="B239" s="104"/>
      <c r="C239" s="104"/>
    </row>
    <row r="240" spans="1:16">
      <c r="A240" s="2" t="s">
        <v>334</v>
      </c>
      <c r="B240" s="46"/>
      <c r="C240" s="46"/>
    </row>
    <row r="241" spans="1:5">
      <c r="A241" s="39" t="s">
        <v>335</v>
      </c>
      <c r="B241" s="46">
        <f>'SA $ by prov 13-14'!B86</f>
        <v>1348.1091360066143</v>
      </c>
      <c r="C241" s="46" t="s">
        <v>437</v>
      </c>
      <c r="D241" s="39"/>
      <c r="E241" s="262" t="s">
        <v>982</v>
      </c>
    </row>
    <row r="242" spans="1:5">
      <c r="A242" s="39"/>
      <c r="B242" s="46"/>
      <c r="C242" s="46"/>
      <c r="D242" s="39"/>
      <c r="E242" s="262" t="s">
        <v>981</v>
      </c>
    </row>
    <row r="243" spans="1:5">
      <c r="A243" s="39" t="s">
        <v>12</v>
      </c>
      <c r="B243" s="46">
        <f>67.1*0.59</f>
        <v>39.588999999999992</v>
      </c>
      <c r="C243" s="46" t="s">
        <v>437</v>
      </c>
      <c r="D243" s="39"/>
      <c r="E243" s="278" t="s">
        <v>1019</v>
      </c>
    </row>
    <row r="244" spans="1:5">
      <c r="A244" s="258" t="s">
        <v>24</v>
      </c>
      <c r="B244" s="104">
        <f>SUM(B241:B243)</f>
        <v>1387.6981360066143</v>
      </c>
      <c r="C244" s="104" t="s">
        <v>437</v>
      </c>
      <c r="D244" s="39"/>
      <c r="E244" s="39"/>
    </row>
    <row r="245" spans="1:5">
      <c r="A245" s="258"/>
      <c r="B245" s="104"/>
      <c r="C245" s="104"/>
      <c r="D245" s="39"/>
      <c r="E245" s="39"/>
    </row>
    <row r="246" spans="1:5">
      <c r="A246" s="50" t="s">
        <v>13</v>
      </c>
      <c r="B246" s="46"/>
      <c r="C246" s="46"/>
      <c r="D246" s="39"/>
      <c r="E246" s="39"/>
    </row>
    <row r="247" spans="1:5">
      <c r="A247" s="39" t="s">
        <v>7</v>
      </c>
      <c r="B247" s="46">
        <v>1410.6</v>
      </c>
      <c r="C247" s="46"/>
      <c r="D247" s="39"/>
      <c r="E247" s="106" t="s">
        <v>974</v>
      </c>
    </row>
    <row r="248" spans="1:5">
      <c r="A248" s="39" t="s">
        <v>8</v>
      </c>
      <c r="B248" s="46"/>
      <c r="C248" s="46"/>
      <c r="D248" s="39"/>
      <c r="E248" s="39" t="s">
        <v>1022</v>
      </c>
    </row>
    <row r="249" spans="1:5">
      <c r="A249" s="258" t="s">
        <v>57</v>
      </c>
      <c r="B249" s="104">
        <f>SUM(B247:B248)</f>
        <v>1410.6</v>
      </c>
      <c r="C249" s="104"/>
      <c r="D249" s="39"/>
      <c r="E249" s="39"/>
    </row>
    <row r="250" spans="1:5">
      <c r="A250" s="258"/>
      <c r="B250" s="104"/>
      <c r="C250" s="104"/>
      <c r="D250" s="39"/>
      <c r="E250" s="39"/>
    </row>
    <row r="251" spans="1:5">
      <c r="A251" s="39" t="s">
        <v>64</v>
      </c>
      <c r="B251" s="46"/>
      <c r="C251" s="46"/>
      <c r="D251" s="39"/>
      <c r="E251" s="39"/>
    </row>
    <row r="252" spans="1:5">
      <c r="A252" s="39" t="s">
        <v>9</v>
      </c>
      <c r="B252" s="46">
        <v>338</v>
      </c>
      <c r="C252" s="46"/>
      <c r="D252" s="39"/>
      <c r="E252" s="106" t="s">
        <v>927</v>
      </c>
    </row>
    <row r="253" spans="1:5">
      <c r="A253" s="39" t="s">
        <v>10</v>
      </c>
      <c r="B253" s="46">
        <v>1113</v>
      </c>
      <c r="C253" s="46"/>
      <c r="D253" s="39"/>
      <c r="E253" s="106" t="s">
        <v>927</v>
      </c>
    </row>
    <row r="254" spans="1:5">
      <c r="A254" s="258" t="s">
        <v>24</v>
      </c>
      <c r="B254" s="104">
        <f>SUM(B252:B253)</f>
        <v>1451</v>
      </c>
      <c r="C254" s="104"/>
      <c r="D254" s="39"/>
      <c r="E254" s="39" t="s">
        <v>429</v>
      </c>
    </row>
    <row r="255" spans="1:5">
      <c r="A255" s="39"/>
      <c r="B255" s="46"/>
      <c r="C255" s="46"/>
      <c r="D255" s="39"/>
      <c r="E255" s="39"/>
    </row>
    <row r="256" spans="1:5" ht="15.75">
      <c r="A256" s="48" t="s">
        <v>23</v>
      </c>
      <c r="B256" s="49">
        <f>SUM(B228+B234+B238+B244+B249+B254)</f>
        <v>6242.8151360066149</v>
      </c>
      <c r="C256" s="49"/>
      <c r="D256" s="39"/>
      <c r="E256" s="39"/>
    </row>
    <row r="257" spans="1:29" ht="15.75">
      <c r="A257" s="48"/>
      <c r="B257" s="49"/>
      <c r="C257" s="49"/>
      <c r="D257" s="39"/>
      <c r="E257" s="39"/>
    </row>
    <row r="258" spans="1:29" ht="15.75">
      <c r="A258" s="48"/>
      <c r="B258" s="49"/>
      <c r="C258" s="49"/>
      <c r="D258" s="39"/>
      <c r="E258" s="39"/>
    </row>
    <row r="259" spans="1:29" ht="15.75">
      <c r="A259" s="48"/>
      <c r="B259" s="49"/>
      <c r="C259" s="49"/>
      <c r="D259" s="39"/>
      <c r="E259" s="39"/>
    </row>
    <row r="260" spans="1:29">
      <c r="A260" s="39"/>
      <c r="B260" s="39"/>
      <c r="C260" s="39"/>
      <c r="D260" s="39"/>
      <c r="E260" s="39"/>
      <c r="V260" s="224" t="s">
        <v>687</v>
      </c>
      <c r="W260" s="224"/>
      <c r="X260" s="224"/>
      <c r="Y260" s="224"/>
    </row>
    <row r="261" spans="1:29" ht="18" customHeight="1">
      <c r="B261" s="39"/>
      <c r="C261" s="39"/>
      <c r="D261" s="39"/>
      <c r="E261" s="39"/>
      <c r="AC261" s="230"/>
    </row>
    <row r="262" spans="1:29" ht="41.25" customHeight="1">
      <c r="A262" s="106"/>
      <c r="B262" s="39"/>
      <c r="C262" s="39"/>
      <c r="D262" s="39"/>
      <c r="E262" s="39"/>
      <c r="V262" s="226">
        <v>2005</v>
      </c>
      <c r="W262" s="226">
        <v>2010</v>
      </c>
      <c r="X262" s="226">
        <v>2011</v>
      </c>
      <c r="Y262" s="226">
        <v>2013</v>
      </c>
      <c r="Z262" s="322" t="s">
        <v>1030</v>
      </c>
      <c r="AA262" s="322"/>
      <c r="AB262" s="322"/>
    </row>
    <row r="263" spans="1:29">
      <c r="A263" s="106"/>
      <c r="O263" s="2" t="s">
        <v>389</v>
      </c>
      <c r="V263" s="226"/>
      <c r="W263" s="226"/>
      <c r="X263" s="226"/>
      <c r="Y263" s="226"/>
      <c r="Z263" s="226"/>
      <c r="AA263" s="226"/>
      <c r="AB263" s="226"/>
    </row>
    <row r="264" spans="1:29" ht="52.5" customHeight="1">
      <c r="A264" s="106"/>
      <c r="B264" s="41" t="s">
        <v>58</v>
      </c>
      <c r="C264" s="41"/>
      <c r="D264" s="41" t="s">
        <v>181</v>
      </c>
      <c r="E264" s="256" t="s">
        <v>743</v>
      </c>
      <c r="F264" s="41" t="s">
        <v>514</v>
      </c>
      <c r="G264" s="256" t="s">
        <v>743</v>
      </c>
      <c r="H264" s="256" t="s">
        <v>689</v>
      </c>
      <c r="I264" s="256" t="s">
        <v>743</v>
      </c>
      <c r="J264" s="301" t="s">
        <v>823</v>
      </c>
      <c r="K264" s="301" t="s">
        <v>743</v>
      </c>
      <c r="L264" s="301" t="s">
        <v>824</v>
      </c>
      <c r="M264" s="301" t="s">
        <v>743</v>
      </c>
      <c r="N264" s="301"/>
      <c r="O264" s="41" t="s">
        <v>58</v>
      </c>
      <c r="P264" s="41" t="s">
        <v>181</v>
      </c>
      <c r="Q264" s="41" t="s">
        <v>514</v>
      </c>
      <c r="R264" s="256" t="s">
        <v>689</v>
      </c>
      <c r="S264" s="301" t="s">
        <v>823</v>
      </c>
      <c r="T264" s="41" t="s">
        <v>824</v>
      </c>
      <c r="V264" s="232">
        <v>7581192</v>
      </c>
      <c r="W264" s="232">
        <v>7929365</v>
      </c>
      <c r="X264" s="232">
        <v>8007656</v>
      </c>
      <c r="Y264" s="232">
        <v>8154761</v>
      </c>
      <c r="Z264" s="256" t="s">
        <v>743</v>
      </c>
    </row>
    <row r="265" spans="1:29">
      <c r="A265" s="2" t="s">
        <v>11</v>
      </c>
      <c r="B265" s="9">
        <f>B13</f>
        <v>401.84999999999997</v>
      </c>
      <c r="C265" s="9"/>
      <c r="D265" s="9">
        <f>B56</f>
        <v>475.25200000000012</v>
      </c>
      <c r="E265" s="29">
        <f>(D265-B265)/B265</f>
        <v>0.1826601965907681</v>
      </c>
      <c r="F265" s="9">
        <f>B99</f>
        <v>505.98239999999998</v>
      </c>
      <c r="G265" s="29">
        <f>(F265-B265)/B265</f>
        <v>0.25913251213139238</v>
      </c>
      <c r="H265" s="9">
        <f>B143</f>
        <v>537.87117999999998</v>
      </c>
      <c r="I265" s="29">
        <f>(H265-B265)/B265</f>
        <v>0.33848744556426535</v>
      </c>
      <c r="J265" s="9">
        <f>B185</f>
        <v>560.24383999999998</v>
      </c>
      <c r="K265" s="29">
        <f>(J265-B265)/B265</f>
        <v>0.3941616025880304</v>
      </c>
      <c r="L265" s="9">
        <f>B228</f>
        <v>585.01700000000005</v>
      </c>
      <c r="M265" s="29">
        <f>(L265-B265)/B265</f>
        <v>0.45580938161005374</v>
      </c>
      <c r="N265" s="29"/>
      <c r="O265" s="29">
        <f>B265/$B$275</f>
        <v>7.9939780091503543E-2</v>
      </c>
      <c r="P265" s="29">
        <f>D265/$D$275</f>
        <v>8.3696465549088633E-2</v>
      </c>
      <c r="Q265" s="29">
        <f>F265/$F$275</f>
        <v>8.7663552353957411E-2</v>
      </c>
      <c r="R265" s="29">
        <f>H265/$H$275</f>
        <v>9.133311569792571E-2</v>
      </c>
      <c r="S265" s="29">
        <f>J265/$J$275</f>
        <v>9.1836128361302394E-2</v>
      </c>
      <c r="T265" s="29">
        <f>L265/$L$275</f>
        <v>9.3710447491197391E-2</v>
      </c>
      <c r="V265" s="225">
        <f>(B265*1000000)/$V$264</f>
        <v>53.006176337441389</v>
      </c>
      <c r="W265" s="225">
        <f>(F265*1000000)/$W$264</f>
        <v>63.811213129929065</v>
      </c>
      <c r="X265" s="225">
        <f>(H265*1000000)/$X$264</f>
        <v>67.169616177318304</v>
      </c>
      <c r="Y265" s="225">
        <f>L265*1000000/$Y$264</f>
        <v>71.739318908304</v>
      </c>
      <c r="Z265" s="29">
        <f>(Y265-V265)/V265</f>
        <v>0.35341433518248866</v>
      </c>
    </row>
    <row r="266" spans="1:29">
      <c r="A266" s="2" t="s">
        <v>5</v>
      </c>
      <c r="B266" s="9">
        <f>B16</f>
        <v>15</v>
      </c>
      <c r="C266" s="9"/>
      <c r="D266" s="9">
        <f>B59</f>
        <v>16.399999999999999</v>
      </c>
      <c r="E266" s="29">
        <f t="shared" ref="E266:E280" si="0">(D266-B266)/B266</f>
        <v>9.333333333333324E-2</v>
      </c>
      <c r="F266" s="9">
        <f>B102</f>
        <v>17.399999999999999</v>
      </c>
      <c r="G266" s="29">
        <f t="shared" ref="G266:G275" si="1">(F266-B266)/B266</f>
        <v>0.15999999999999989</v>
      </c>
      <c r="H266" s="9">
        <f>B146</f>
        <v>18.2</v>
      </c>
      <c r="I266" s="29">
        <f t="shared" ref="I266:I275" si="2">(H266-B266)/B266</f>
        <v>0.21333333333333329</v>
      </c>
      <c r="J266" s="9">
        <f>B188</f>
        <v>18</v>
      </c>
      <c r="K266" s="29">
        <f t="shared" ref="K266:K275" si="3">(J266-B266)/B266</f>
        <v>0.2</v>
      </c>
      <c r="L266" s="9">
        <f>B231</f>
        <v>18.2</v>
      </c>
      <c r="M266" s="29">
        <f t="shared" ref="M266:M275" si="4">(L266-B266)/B266</f>
        <v>0.21333333333333329</v>
      </c>
      <c r="N266" s="29"/>
      <c r="O266" s="29">
        <f t="shared" ref="O266:O275" si="5">B266/$B$275</f>
        <v>2.9839410261852761E-3</v>
      </c>
      <c r="P266" s="29">
        <f t="shared" ref="P266:P275" si="6">D266/$D$275</f>
        <v>2.8881983347888132E-3</v>
      </c>
      <c r="Q266" s="29">
        <f t="shared" ref="Q266:Q275" si="7">F266/$F$275</f>
        <v>3.0146222693889333E-3</v>
      </c>
      <c r="R266" s="29">
        <f t="shared" ref="R266:R275" si="8">H266/$H$275</f>
        <v>3.090447615546622E-3</v>
      </c>
      <c r="S266" s="29">
        <f t="shared" ref="S266:S275" si="9">J266/$J$275</f>
        <v>2.9505907829409476E-3</v>
      </c>
      <c r="T266" s="29">
        <f t="shared" ref="T266:T275" si="10">L266/$L$275</f>
        <v>2.9153514245565384E-3</v>
      </c>
      <c r="V266" s="225">
        <f t="shared" ref="V266:V280" si="11">(B266*1000000)/$V$264</f>
        <v>1.9785806770228218</v>
      </c>
      <c r="W266" s="225">
        <f t="shared" ref="W266:W280" si="12">(F266*1000000)/$W$264</f>
        <v>2.1943749594072162</v>
      </c>
      <c r="X266" s="225">
        <f t="shared" ref="X266:X275" si="13">(H266*1000000)/$X$264</f>
        <v>2.2728249065644177</v>
      </c>
      <c r="Y266" s="225">
        <f t="shared" ref="Y266:Y280" si="14">L266*1000000/$Y$264</f>
        <v>2.2318250651367957</v>
      </c>
      <c r="Z266" s="29">
        <f t="shared" ref="Z266:Z280" si="15">(Y266-V266)/V266</f>
        <v>0.12799295528097024</v>
      </c>
    </row>
    <row r="267" spans="1:29">
      <c r="A267" s="2" t="s">
        <v>69</v>
      </c>
      <c r="B267" s="9">
        <f>B17</f>
        <v>652.79999999999995</v>
      </c>
      <c r="C267" s="9"/>
      <c r="D267" s="9">
        <f>B60</f>
        <v>749.4</v>
      </c>
      <c r="E267" s="29">
        <f t="shared" si="0"/>
        <v>0.14797794117647065</v>
      </c>
      <c r="F267" s="9">
        <f>B103</f>
        <v>756</v>
      </c>
      <c r="G267" s="29">
        <f t="shared" si="1"/>
        <v>0.15808823529411772</v>
      </c>
      <c r="H267" s="9">
        <f>B147</f>
        <v>755.4</v>
      </c>
      <c r="I267" s="29">
        <f t="shared" si="2"/>
        <v>0.15716911764705888</v>
      </c>
      <c r="J267" s="9">
        <f>B189</f>
        <v>779.1</v>
      </c>
      <c r="K267" s="29">
        <f t="shared" si="3"/>
        <v>0.19347426470588247</v>
      </c>
      <c r="L267" s="9">
        <f>B232</f>
        <v>764.8</v>
      </c>
      <c r="M267" s="29">
        <f t="shared" si="4"/>
        <v>0.17156862745098039</v>
      </c>
      <c r="N267" s="29"/>
      <c r="O267" s="29">
        <f>B267/$B$275</f>
        <v>0.12986111345958321</v>
      </c>
      <c r="P267" s="29">
        <f>D267/$D$275</f>
        <v>0.13197657512748395</v>
      </c>
      <c r="Q267" s="29">
        <f t="shared" si="7"/>
        <v>0.13098013998034677</v>
      </c>
      <c r="R267" s="29">
        <f t="shared" si="8"/>
        <v>0.12827055652658892</v>
      </c>
      <c r="S267" s="29">
        <f t="shared" si="9"/>
        <v>0.12771140438829404</v>
      </c>
      <c r="T267" s="29">
        <f t="shared" si="10"/>
        <v>0.12250883348905717</v>
      </c>
      <c r="V267" s="225">
        <f t="shared" si="11"/>
        <v>86.107831064033206</v>
      </c>
      <c r="W267" s="225">
        <f t="shared" si="12"/>
        <v>95.341808581141109</v>
      </c>
      <c r="X267" s="225">
        <f t="shared" si="13"/>
        <v>94.334721671360512</v>
      </c>
      <c r="Y267" s="225">
        <f t="shared" si="14"/>
        <v>93.785703836078085</v>
      </c>
      <c r="Z267" s="29">
        <f t="shared" si="15"/>
        <v>8.9165789884259272E-2</v>
      </c>
    </row>
    <row r="268" spans="1:29">
      <c r="A268" s="2" t="s">
        <v>6</v>
      </c>
      <c r="B268" s="9">
        <f>B18</f>
        <v>244.9</v>
      </c>
      <c r="C268" s="9"/>
      <c r="D268" s="9">
        <f>B61</f>
        <v>298.8</v>
      </c>
      <c r="E268" s="29">
        <f t="shared" si="0"/>
        <v>0.22008983258472847</v>
      </c>
      <c r="F268" s="9">
        <f>B104</f>
        <v>296.5</v>
      </c>
      <c r="G268" s="29">
        <f t="shared" si="1"/>
        <v>0.21069824418129846</v>
      </c>
      <c r="H268" s="9">
        <f>B148</f>
        <v>313</v>
      </c>
      <c r="I268" s="29">
        <f t="shared" si="2"/>
        <v>0.27807268272764391</v>
      </c>
      <c r="J268" s="9">
        <f>B190</f>
        <v>346</v>
      </c>
      <c r="K268" s="29">
        <f t="shared" si="3"/>
        <v>0.4128215598203348</v>
      </c>
      <c r="L268" s="9">
        <f>B233</f>
        <v>362.4</v>
      </c>
      <c r="M268" s="29">
        <f t="shared" si="4"/>
        <v>0.47978766843609622</v>
      </c>
      <c r="N268" s="29"/>
      <c r="O268" s="29">
        <f t="shared" si="5"/>
        <v>4.8717810487518276E-2</v>
      </c>
      <c r="P268" s="29">
        <f t="shared" si="6"/>
        <v>5.2621564782615704E-2</v>
      </c>
      <c r="Q268" s="29">
        <f t="shared" si="7"/>
        <v>5.1369856487001077E-2</v>
      </c>
      <c r="R268" s="29">
        <f t="shared" si="8"/>
        <v>5.3148906794840266E-2</v>
      </c>
      <c r="S268" s="29">
        <f t="shared" si="9"/>
        <v>5.6716911716531551E-2</v>
      </c>
      <c r="T268" s="29">
        <f t="shared" si="10"/>
        <v>5.8050733860400522E-2</v>
      </c>
      <c r="V268" s="225">
        <f t="shared" si="11"/>
        <v>32.303627186859266</v>
      </c>
      <c r="W268" s="225">
        <f t="shared" si="12"/>
        <v>37.392653762312619</v>
      </c>
      <c r="X268" s="225">
        <f t="shared" si="13"/>
        <v>39.087593173333119</v>
      </c>
      <c r="Y268" s="225">
        <f t="shared" si="14"/>
        <v>44.440296901405205</v>
      </c>
      <c r="Z268" s="29">
        <f t="shared" si="15"/>
        <v>0.37570609778096348</v>
      </c>
    </row>
    <row r="269" spans="1:29">
      <c r="A269" s="2" t="s">
        <v>478</v>
      </c>
      <c r="B269" s="9">
        <f>B21</f>
        <v>203.68799999999999</v>
      </c>
      <c r="C269" s="9"/>
      <c r="D269" s="9">
        <f>B64</f>
        <v>239.56359999999998</v>
      </c>
      <c r="E269" s="29">
        <f t="shared" si="0"/>
        <v>0.17613015985232314</v>
      </c>
      <c r="F269" s="9">
        <f>B107</f>
        <v>256.2</v>
      </c>
      <c r="G269" s="29">
        <f t="shared" si="1"/>
        <v>0.25780605632143277</v>
      </c>
      <c r="H269" s="9">
        <f>B151</f>
        <v>261.09999999999997</v>
      </c>
      <c r="I269" s="29">
        <f t="shared" si="2"/>
        <v>0.28186245630572238</v>
      </c>
      <c r="J269" s="9">
        <f>B195</f>
        <v>268.5</v>
      </c>
      <c r="K269" s="29">
        <f t="shared" si="3"/>
        <v>0.31819252975138457</v>
      </c>
      <c r="L269" s="9">
        <f>B238</f>
        <v>263.10000000000002</v>
      </c>
      <c r="M269" s="29">
        <f t="shared" si="4"/>
        <v>0.29168139507482049</v>
      </c>
      <c r="N269" s="29"/>
      <c r="O269" s="29">
        <f t="shared" si="5"/>
        <v>4.0519531982775102E-2</v>
      </c>
      <c r="P269" s="29">
        <f t="shared" si="6"/>
        <v>4.2189462841220327E-2</v>
      </c>
      <c r="Q269" s="29">
        <f t="shared" si="7"/>
        <v>4.4387714104450846E-2</v>
      </c>
      <c r="R269" s="29">
        <f t="shared" si="8"/>
        <v>4.433603694611115E-2</v>
      </c>
      <c r="S269" s="29">
        <f t="shared" si="9"/>
        <v>4.4012979178869135E-2</v>
      </c>
      <c r="T269" s="29">
        <f t="shared" si="10"/>
        <v>4.2144448340704688E-2</v>
      </c>
      <c r="V269" s="225">
        <f t="shared" si="11"/>
        <v>26.867542729428301</v>
      </c>
      <c r="W269" s="225">
        <f t="shared" si="12"/>
        <v>32.310279574720042</v>
      </c>
      <c r="X269" s="225">
        <f t="shared" si="13"/>
        <v>32.606295774943376</v>
      </c>
      <c r="Y269" s="225">
        <f t="shared" si="14"/>
        <v>32.263361243818188</v>
      </c>
      <c r="Z269" s="29">
        <f t="shared" si="15"/>
        <v>0.20083036877353844</v>
      </c>
    </row>
    <row r="270" spans="1:29">
      <c r="A270" s="107" t="s">
        <v>359</v>
      </c>
      <c r="B270" s="9">
        <f>B25</f>
        <v>1180.2560000000001</v>
      </c>
      <c r="C270" s="9"/>
      <c r="D270" s="9">
        <f>B67</f>
        <v>1273.8948014735979</v>
      </c>
      <c r="E270" s="29">
        <f t="shared" si="0"/>
        <v>7.9337704255346142E-2</v>
      </c>
      <c r="F270" s="9">
        <f>B110</f>
        <v>1303.5600000000002</v>
      </c>
      <c r="G270" s="29">
        <f t="shared" si="1"/>
        <v>0.10447225008811654</v>
      </c>
      <c r="H270" s="9">
        <f>B154</f>
        <v>1315.0183639398997</v>
      </c>
      <c r="I270" s="29">
        <f t="shared" si="2"/>
        <v>0.11418062178027445</v>
      </c>
      <c r="J270" s="9">
        <f>B198</f>
        <v>1337.294361525705</v>
      </c>
      <c r="K270" s="29">
        <f t="shared" si="3"/>
        <v>0.13305449116607318</v>
      </c>
      <c r="L270" s="9">
        <f>B241</f>
        <v>1348.1091360066143</v>
      </c>
      <c r="M270" s="29">
        <f t="shared" si="4"/>
        <v>0.142217566364089</v>
      </c>
      <c r="N270" s="29"/>
      <c r="O270" s="144">
        <f t="shared" si="5"/>
        <v>0.23478761998675532</v>
      </c>
      <c r="P270" s="144">
        <f t="shared" si="6"/>
        <v>0.224345173433669</v>
      </c>
      <c r="Q270" s="144">
        <f t="shared" si="7"/>
        <v>0.22584718422325509</v>
      </c>
      <c r="R270" s="29">
        <f t="shared" si="8"/>
        <v>0.22329644874934523</v>
      </c>
      <c r="S270" s="29">
        <f t="shared" si="9"/>
        <v>0.21921157873314692</v>
      </c>
      <c r="T270" s="29">
        <f t="shared" si="10"/>
        <v>0.21594570824805315</v>
      </c>
      <c r="V270" s="225">
        <f t="shared" si="11"/>
        <v>155.68211436934985</v>
      </c>
      <c r="W270" s="225">
        <f t="shared" si="12"/>
        <v>164.39651851062479</v>
      </c>
      <c r="X270" s="225">
        <f t="shared" si="13"/>
        <v>164.22013682154923</v>
      </c>
      <c r="Y270" s="225">
        <f t="shared" si="14"/>
        <v>165.31559122414677</v>
      </c>
      <c r="Z270" s="29">
        <f t="shared" si="15"/>
        <v>6.1879149662252594E-2</v>
      </c>
    </row>
    <row r="271" spans="1:29">
      <c r="A271" s="2" t="s">
        <v>327</v>
      </c>
      <c r="B271" s="9">
        <f>B27</f>
        <v>29.315000000000001</v>
      </c>
      <c r="C271" s="9"/>
      <c r="D271" s="9">
        <f>B69</f>
        <v>33.770000000000003</v>
      </c>
      <c r="E271" s="29">
        <f t="shared" si="0"/>
        <v>0.15196998123827399</v>
      </c>
      <c r="F271" s="9">
        <f>B112</f>
        <v>33.825000000000003</v>
      </c>
      <c r="G271" s="29">
        <f t="shared" si="1"/>
        <v>0.15384615384615388</v>
      </c>
      <c r="H271" s="9">
        <f>B156</f>
        <v>34.925000000000004</v>
      </c>
      <c r="I271" s="29">
        <f t="shared" si="2"/>
        <v>0.19136960600375244</v>
      </c>
      <c r="J271" s="9">
        <f>B200</f>
        <v>37.334999999999994</v>
      </c>
      <c r="K271" s="29">
        <f t="shared" si="3"/>
        <v>0.27358007845812699</v>
      </c>
      <c r="L271" s="9">
        <f>B243</f>
        <v>39.588999999999992</v>
      </c>
      <c r="M271" s="29">
        <f t="shared" si="4"/>
        <v>0.35046904315196964</v>
      </c>
      <c r="N271" s="29"/>
      <c r="O271" s="29">
        <f t="shared" si="5"/>
        <v>5.8316154121747588E-3</v>
      </c>
      <c r="P271" s="29">
        <f t="shared" si="6"/>
        <v>5.9472230345011126E-3</v>
      </c>
      <c r="Q271" s="29">
        <f t="shared" si="7"/>
        <v>5.8603217392000388E-3</v>
      </c>
      <c r="R271" s="29">
        <f t="shared" si="8"/>
        <v>5.9304331303827364E-3</v>
      </c>
      <c r="S271" s="29">
        <f t="shared" si="9"/>
        <v>6.1200170489500143E-3</v>
      </c>
      <c r="T271" s="29">
        <f t="shared" si="10"/>
        <v>6.3415300849872956E-3</v>
      </c>
      <c r="V271" s="225">
        <f t="shared" si="11"/>
        <v>3.8668061697949345</v>
      </c>
      <c r="W271" s="225">
        <f t="shared" si="12"/>
        <v>4.2657892529855799</v>
      </c>
      <c r="X271" s="225">
        <f t="shared" si="13"/>
        <v>4.3614510913056215</v>
      </c>
      <c r="Y271" s="225">
        <f t="shared" si="14"/>
        <v>4.8547100276758561</v>
      </c>
      <c r="Z271" s="29">
        <f t="shared" si="15"/>
        <v>0.25548315961575918</v>
      </c>
    </row>
    <row r="272" spans="1:29">
      <c r="A272" s="2" t="s">
        <v>503</v>
      </c>
      <c r="B272" s="9">
        <f>B270+B271</f>
        <v>1209.5710000000001</v>
      </c>
      <c r="C272" s="9"/>
      <c r="D272" s="9">
        <f>D270+D271</f>
        <v>1307.6648014735979</v>
      </c>
      <c r="E272" s="29">
        <f>(D272-B272)/B272</f>
        <v>8.1098010347137733E-2</v>
      </c>
      <c r="F272" s="9">
        <f>F270+F271</f>
        <v>1337.3850000000002</v>
      </c>
      <c r="G272" s="29">
        <f t="shared" si="1"/>
        <v>0.10566886937600195</v>
      </c>
      <c r="H272" s="9">
        <f>B157</f>
        <v>1349.9433639398997</v>
      </c>
      <c r="I272" s="29">
        <f t="shared" si="2"/>
        <v>0.11605136361561207</v>
      </c>
      <c r="J272" s="9">
        <f>B201</f>
        <v>1374.629361525705</v>
      </c>
      <c r="K272" s="29">
        <f t="shared" si="3"/>
        <v>0.1364602503910104</v>
      </c>
      <c r="L272" s="9">
        <f>B244</f>
        <v>1387.6981360066143</v>
      </c>
      <c r="M272" s="29">
        <f t="shared" si="4"/>
        <v>0.14726472113386821</v>
      </c>
      <c r="N272" s="29"/>
      <c r="O272" s="29">
        <f>B272/$B$275</f>
        <v>0.24061923539893007</v>
      </c>
      <c r="P272" s="29">
        <f>D272/$D$275</f>
        <v>0.23029239646817012</v>
      </c>
      <c r="Q272" s="29">
        <f t="shared" si="7"/>
        <v>0.23170750596245512</v>
      </c>
      <c r="R272" s="29">
        <f t="shared" si="8"/>
        <v>0.22922688187972798</v>
      </c>
      <c r="S272" s="29">
        <f t="shared" si="9"/>
        <v>0.22533159578209694</v>
      </c>
      <c r="T272" s="29">
        <f t="shared" si="10"/>
        <v>0.22228723833304043</v>
      </c>
      <c r="V272" s="225">
        <f t="shared" si="11"/>
        <v>159.5489205391448</v>
      </c>
      <c r="W272" s="225">
        <f t="shared" si="12"/>
        <v>168.66230776361036</v>
      </c>
      <c r="X272" s="225">
        <f t="shared" si="13"/>
        <v>168.58158791285487</v>
      </c>
      <c r="Y272" s="225">
        <f t="shared" si="14"/>
        <v>170.17030125182262</v>
      </c>
      <c r="Z272" s="29">
        <f t="shared" si="15"/>
        <v>6.6571310396750058E-2</v>
      </c>
    </row>
    <row r="273" spans="1:26">
      <c r="A273" s="2" t="s">
        <v>369</v>
      </c>
      <c r="B273" s="9">
        <f>B31</f>
        <v>1227.0999999999999</v>
      </c>
      <c r="C273" s="9"/>
      <c r="D273" s="9">
        <f>B73</f>
        <v>1364.2</v>
      </c>
      <c r="E273" s="29">
        <f t="shared" si="0"/>
        <v>0.11172683562871824</v>
      </c>
      <c r="F273" s="9">
        <f>B116</f>
        <v>1350.4</v>
      </c>
      <c r="G273" s="29">
        <f t="shared" si="1"/>
        <v>0.10048080841007269</v>
      </c>
      <c r="H273" s="9">
        <f>B160</f>
        <v>1364.6</v>
      </c>
      <c r="I273" s="29">
        <f t="shared" si="2"/>
        <v>0.11205280743215712</v>
      </c>
      <c r="J273" s="9">
        <f>B206</f>
        <v>1385</v>
      </c>
      <c r="K273" s="29">
        <f t="shared" si="3"/>
        <v>0.12867736940754634</v>
      </c>
      <c r="L273" s="9">
        <f>B249</f>
        <v>1410.6</v>
      </c>
      <c r="M273" s="29">
        <f t="shared" si="4"/>
        <v>0.14953956482764241</v>
      </c>
      <c r="N273" s="29"/>
      <c r="O273" s="29">
        <f t="shared" si="5"/>
        <v>0.24410626888213016</v>
      </c>
      <c r="P273" s="29">
        <f t="shared" si="6"/>
        <v>0.24024879075115241</v>
      </c>
      <c r="Q273" s="29">
        <f t="shared" si="7"/>
        <v>0.23396240876912736</v>
      </c>
      <c r="R273" s="29">
        <f t="shared" si="8"/>
        <v>0.23171564924038024</v>
      </c>
      <c r="S273" s="29">
        <f t="shared" si="9"/>
        <v>0.22703156857628959</v>
      </c>
      <c r="T273" s="29">
        <f t="shared" si="10"/>
        <v>0.22595575381755237</v>
      </c>
      <c r="V273" s="225">
        <f t="shared" si="11"/>
        <v>161.86108991831364</v>
      </c>
      <c r="W273" s="225">
        <f t="shared" si="12"/>
        <v>170.30367501054624</v>
      </c>
      <c r="X273" s="225">
        <f t="shared" si="13"/>
        <v>170.41191579658266</v>
      </c>
      <c r="Y273" s="225">
        <f t="shared" si="14"/>
        <v>172.97870532318481</v>
      </c>
      <c r="Z273" s="29">
        <f t="shared" si="15"/>
        <v>6.868615187554894E-2</v>
      </c>
    </row>
    <row r="274" spans="1:26">
      <c r="A274" s="2" t="s">
        <v>180</v>
      </c>
      <c r="B274" s="9">
        <f>B37</f>
        <v>1072</v>
      </c>
      <c r="C274" s="9"/>
      <c r="D274" s="9">
        <f>B80</f>
        <v>1227</v>
      </c>
      <c r="E274" s="29">
        <f t="shared" si="0"/>
        <v>0.14458955223880596</v>
      </c>
      <c r="F274" s="9">
        <f>B123</f>
        <v>1252</v>
      </c>
      <c r="G274" s="29">
        <f t="shared" si="1"/>
        <v>0.16791044776119404</v>
      </c>
      <c r="H274" s="9">
        <f>B167</f>
        <v>1289</v>
      </c>
      <c r="I274" s="29">
        <f t="shared" si="2"/>
        <v>0.20242537313432835</v>
      </c>
      <c r="J274" s="9">
        <f>B211</f>
        <v>1369</v>
      </c>
      <c r="K274" s="29">
        <f t="shared" si="3"/>
        <v>0.27705223880597013</v>
      </c>
      <c r="L274" s="9">
        <f>B254</f>
        <v>1451</v>
      </c>
      <c r="M274" s="29">
        <f t="shared" si="4"/>
        <v>0.35354477611940299</v>
      </c>
      <c r="N274" s="29"/>
      <c r="O274" s="29">
        <f t="shared" si="5"/>
        <v>0.21325231867137442</v>
      </c>
      <c r="P274" s="29">
        <f t="shared" si="6"/>
        <v>0.21608654614548015</v>
      </c>
      <c r="Q274" s="29">
        <f t="shared" si="7"/>
        <v>0.21691420007327267</v>
      </c>
      <c r="R274" s="29">
        <f t="shared" si="8"/>
        <v>0.21887840529887892</v>
      </c>
      <c r="S274" s="29">
        <f t="shared" si="9"/>
        <v>0.22440882121367542</v>
      </c>
      <c r="T274" s="29">
        <f t="shared" si="10"/>
        <v>0.23242719324349106</v>
      </c>
      <c r="V274" s="225">
        <f t="shared" si="11"/>
        <v>141.40256571789766</v>
      </c>
      <c r="W274" s="225">
        <f t="shared" si="12"/>
        <v>157.89410627458818</v>
      </c>
      <c r="X274" s="225">
        <f t="shared" si="13"/>
        <v>160.97095080008432</v>
      </c>
      <c r="Y274" s="225">
        <f t="shared" si="14"/>
        <v>177.93286645678518</v>
      </c>
      <c r="Z274" s="29">
        <f t="shared" si="15"/>
        <v>0.25834255943959716</v>
      </c>
    </row>
    <row r="275" spans="1:26" ht="15.75">
      <c r="B275" s="17">
        <f>SUM(B265:B274)-B272</f>
        <v>5026.9089999999997</v>
      </c>
      <c r="C275" s="17"/>
      <c r="D275" s="17">
        <f>SUM(D265:D274)-D272</f>
        <v>5678.2804014735975</v>
      </c>
      <c r="E275" s="123">
        <f t="shared" si="0"/>
        <v>0.12957692320939129</v>
      </c>
      <c r="F275" s="17">
        <f>SUM(F265:F274)-F272</f>
        <v>5771.8673999999992</v>
      </c>
      <c r="G275" s="123">
        <f t="shared" si="1"/>
        <v>0.14819412883742267</v>
      </c>
      <c r="H275" s="17">
        <f>SUM(H265:H274)-H272</f>
        <v>5889.1145439399006</v>
      </c>
      <c r="I275" s="123">
        <f t="shared" si="2"/>
        <v>0.17151803303777749</v>
      </c>
      <c r="J275" s="17">
        <f>SUM(J265:J274)-J272</f>
        <v>6100.473201525705</v>
      </c>
      <c r="K275" s="29">
        <f t="shared" si="3"/>
        <v>0.21356348434509267</v>
      </c>
      <c r="L275" s="17">
        <f>SUM(L265:L274)-L272</f>
        <v>6242.8151360066131</v>
      </c>
      <c r="M275" s="29">
        <f t="shared" si="4"/>
        <v>0.24187948021470321</v>
      </c>
      <c r="N275" s="123"/>
      <c r="O275" s="123">
        <f t="shared" si="5"/>
        <v>1</v>
      </c>
      <c r="P275" s="123">
        <f t="shared" si="6"/>
        <v>1</v>
      </c>
      <c r="Q275" s="123">
        <f t="shared" si="7"/>
        <v>1</v>
      </c>
      <c r="R275" s="123">
        <f t="shared" si="8"/>
        <v>1</v>
      </c>
      <c r="S275" s="29">
        <f t="shared" si="9"/>
        <v>1</v>
      </c>
      <c r="T275" s="29">
        <f t="shared" si="10"/>
        <v>1</v>
      </c>
      <c r="V275" s="225">
        <f t="shared" si="11"/>
        <v>663.07633417014108</v>
      </c>
      <c r="W275" s="225">
        <f t="shared" si="12"/>
        <v>727.91041905625468</v>
      </c>
      <c r="X275" s="225">
        <f t="shared" si="13"/>
        <v>735.43550621304166</v>
      </c>
      <c r="Y275" s="225">
        <f t="shared" si="14"/>
        <v>765.54237898653469</v>
      </c>
      <c r="Z275" s="29">
        <f t="shared" si="15"/>
        <v>0.15453129532157528</v>
      </c>
    </row>
    <row r="276" spans="1:26">
      <c r="V276" s="225"/>
      <c r="W276" s="225"/>
      <c r="X276" s="225"/>
      <c r="Y276" s="225"/>
      <c r="Z276" s="29"/>
    </row>
    <row r="277" spans="1:26">
      <c r="E277" s="41" t="s">
        <v>181</v>
      </c>
      <c r="G277" s="41" t="s">
        <v>514</v>
      </c>
      <c r="H277" s="41"/>
      <c r="I277" s="52" t="s">
        <v>689</v>
      </c>
      <c r="J277" s="52"/>
      <c r="K277" s="307" t="s">
        <v>823</v>
      </c>
      <c r="L277" s="52"/>
      <c r="M277" s="307" t="s">
        <v>824</v>
      </c>
      <c r="N277" s="52"/>
      <c r="V277" s="225"/>
      <c r="W277" s="225"/>
      <c r="X277" s="225"/>
      <c r="Y277" s="225"/>
      <c r="Z277" s="29"/>
    </row>
    <row r="278" spans="1:26" ht="25.5">
      <c r="A278" s="130" t="s">
        <v>501</v>
      </c>
      <c r="B278" s="9">
        <f>B272</f>
        <v>1209.5710000000001</v>
      </c>
      <c r="D278" s="9">
        <f>D272</f>
        <v>1307.6648014735979</v>
      </c>
      <c r="E278" s="29">
        <f t="shared" si="0"/>
        <v>8.1098010347137733E-2</v>
      </c>
      <c r="F278" s="9">
        <f>F272</f>
        <v>1337.3850000000002</v>
      </c>
      <c r="G278" s="29">
        <f>(F278-B278)/B278</f>
        <v>0.10566886937600195</v>
      </c>
      <c r="H278" s="19">
        <f>H272</f>
        <v>1349.9433639398997</v>
      </c>
      <c r="I278" s="29">
        <f>(H278-B278)/B278</f>
        <v>0.11605136361561207</v>
      </c>
      <c r="J278" s="19">
        <f t="shared" ref="J278" si="16">J272</f>
        <v>1374.629361525705</v>
      </c>
      <c r="K278" s="29">
        <f>(J278-B278)/B278</f>
        <v>0.1364602503910104</v>
      </c>
      <c r="L278" s="19">
        <f t="shared" ref="L278" si="17">L272</f>
        <v>1387.6981360066143</v>
      </c>
      <c r="M278" s="29">
        <f>(L278-B278)/B278</f>
        <v>0.14726472113386821</v>
      </c>
      <c r="N278" s="29"/>
      <c r="V278" s="225">
        <f t="shared" si="11"/>
        <v>159.5489205391448</v>
      </c>
      <c r="W278" s="225">
        <f t="shared" si="12"/>
        <v>168.66230776361036</v>
      </c>
      <c r="X278" s="225">
        <f>(H278*1000000)/$X$264</f>
        <v>168.58158791285487</v>
      </c>
      <c r="Y278" s="225">
        <f t="shared" si="14"/>
        <v>170.17030125182262</v>
      </c>
      <c r="Z278" s="29">
        <f t="shared" si="15"/>
        <v>6.6571310396750058E-2</v>
      </c>
    </row>
    <row r="279" spans="1:26">
      <c r="A279" s="2" t="s">
        <v>373</v>
      </c>
      <c r="B279" s="9">
        <f>B275</f>
        <v>5026.9089999999997</v>
      </c>
      <c r="D279" s="9">
        <f>D275</f>
        <v>5678.2804014735975</v>
      </c>
      <c r="E279" s="29">
        <f t="shared" si="0"/>
        <v>0.12957692320939129</v>
      </c>
      <c r="F279" s="9">
        <f>F275</f>
        <v>5771.8673999999992</v>
      </c>
      <c r="G279" s="29">
        <f>(F279-B279)/B279</f>
        <v>0.14819412883742267</v>
      </c>
      <c r="H279" s="19">
        <f>H275</f>
        <v>5889.1145439399006</v>
      </c>
      <c r="I279" s="29">
        <f>(H279-B279)/B279</f>
        <v>0.17151803303777749</v>
      </c>
      <c r="J279" s="19">
        <f t="shared" ref="J279" si="18">J275</f>
        <v>6100.473201525705</v>
      </c>
      <c r="K279" s="29">
        <f t="shared" ref="K279:K280" si="19">(J279-B279)/B279</f>
        <v>0.21356348434509267</v>
      </c>
      <c r="L279" s="19">
        <f t="shared" ref="L279" si="20">L275</f>
        <v>6242.8151360066131</v>
      </c>
      <c r="M279" s="29">
        <f t="shared" ref="M279:M280" si="21">(L279-B279)/B279</f>
        <v>0.24187948021470321</v>
      </c>
      <c r="N279" s="29"/>
      <c r="V279" s="225">
        <f t="shared" si="11"/>
        <v>663.07633417014108</v>
      </c>
      <c r="W279" s="225">
        <f t="shared" si="12"/>
        <v>727.91041905625468</v>
      </c>
      <c r="X279" s="225">
        <f>(H279*1000000)/$X$264</f>
        <v>735.43550621304166</v>
      </c>
      <c r="Y279" s="225">
        <f t="shared" si="14"/>
        <v>765.54237898653469</v>
      </c>
      <c r="Z279" s="29">
        <f t="shared" si="15"/>
        <v>0.15453129532157528</v>
      </c>
    </row>
    <row r="280" spans="1:26" ht="25.5">
      <c r="A280" s="130" t="s">
        <v>502</v>
      </c>
      <c r="B280" s="9">
        <f>B279-B278</f>
        <v>3817.3379999999997</v>
      </c>
      <c r="D280" s="9">
        <f>D279-D278</f>
        <v>4370.6155999999992</v>
      </c>
      <c r="E280" s="29">
        <f t="shared" si="0"/>
        <v>0.14493806940857726</v>
      </c>
      <c r="F280" s="9">
        <f>F279-F278</f>
        <v>4434.482399999999</v>
      </c>
      <c r="G280" s="29">
        <f>(F280-B280)/B280</f>
        <v>0.1616687859445507</v>
      </c>
      <c r="H280" s="19">
        <f>H279-H278</f>
        <v>4539.1711800000012</v>
      </c>
      <c r="I280" s="29">
        <f>(H280-B280)/B280</f>
        <v>0.18909333677028375</v>
      </c>
      <c r="J280" s="19">
        <f t="shared" ref="J280" si="22">J279-J278</f>
        <v>4725.8438399999995</v>
      </c>
      <c r="K280" s="29">
        <f t="shared" si="19"/>
        <v>0.23799460252144292</v>
      </c>
      <c r="L280" s="19">
        <f t="shared" ref="L280" si="23">L279-L278</f>
        <v>4855.1169999999984</v>
      </c>
      <c r="M280" s="29">
        <f t="shared" si="21"/>
        <v>0.27185934281952467</v>
      </c>
      <c r="N280" s="29"/>
      <c r="V280" s="225">
        <f t="shared" si="11"/>
        <v>503.52741363099625</v>
      </c>
      <c r="W280" s="225">
        <f t="shared" si="12"/>
        <v>559.24811129264435</v>
      </c>
      <c r="X280" s="225">
        <f>(H280*1000000)/$X$264</f>
        <v>566.85391830018682</v>
      </c>
      <c r="Y280" s="225">
        <f t="shared" si="14"/>
        <v>595.37207773471209</v>
      </c>
      <c r="Z280" s="29">
        <f t="shared" si="15"/>
        <v>0.18240251000717719</v>
      </c>
    </row>
    <row r="283" spans="1:26">
      <c r="A283" s="52" t="s">
        <v>441</v>
      </c>
    </row>
    <row r="284" spans="1:26">
      <c r="A284" t="s">
        <v>623</v>
      </c>
    </row>
    <row r="285" spans="1:26">
      <c r="A285" s="106" t="s">
        <v>678</v>
      </c>
      <c r="B285" s="39"/>
      <c r="C285" s="39"/>
      <c r="D285" s="39"/>
      <c r="E285" s="39"/>
      <c r="F285" s="39"/>
    </row>
    <row r="286" spans="1:26">
      <c r="A286" s="52" t="s">
        <v>760</v>
      </c>
    </row>
    <row r="287" spans="1:26">
      <c r="A287" s="52" t="s">
        <v>772</v>
      </c>
    </row>
    <row r="288" spans="1:26">
      <c r="A288" s="52" t="s">
        <v>773</v>
      </c>
    </row>
    <row r="289" spans="1:3">
      <c r="A289" s="52" t="s">
        <v>799</v>
      </c>
    </row>
    <row r="290" spans="1:3">
      <c r="A290" s="149" t="s">
        <v>818</v>
      </c>
      <c r="B290" s="136"/>
      <c r="C290" s="136"/>
    </row>
  </sheetData>
  <mergeCells count="5">
    <mergeCell ref="E103:P103"/>
    <mergeCell ref="E147:P147"/>
    <mergeCell ref="Z262:AB262"/>
    <mergeCell ref="E189:M189"/>
    <mergeCell ref="E232:N232"/>
  </mergeCells>
  <hyperlinks>
    <hyperlink ref="V18" r:id="rId1"/>
    <hyperlink ref="V61" r:id="rId2"/>
    <hyperlink ref="V68" r:id="rId3"/>
    <hyperlink ref="V104" r:id="rId4"/>
    <hyperlink ref="U111" r:id="rId5"/>
    <hyperlink ref="U98" r:id="rId6"/>
    <hyperlink ref="U116" r:id="rId7"/>
    <hyperlink ref="U160" r:id="rId8"/>
  </hyperlinks>
  <pageMargins left="0.70866141732283472" right="0.70866141732283472" top="0.74803149606299213" bottom="0.74803149606299213" header="0.31496062992125984" footer="0.31496062992125984"/>
  <pageSetup scale="13" orientation="landscape" verticalDpi="0" r:id="rId9"/>
</worksheet>
</file>

<file path=xl/worksheets/sheet37.xml><?xml version="1.0" encoding="utf-8"?>
<worksheet xmlns="http://schemas.openxmlformats.org/spreadsheetml/2006/main" xmlns:r="http://schemas.openxmlformats.org/officeDocument/2006/relationships">
  <sheetPr>
    <tabColor rgb="FFFF0000"/>
  </sheetPr>
  <dimension ref="A1:AE288"/>
  <sheetViews>
    <sheetView topLeftCell="A252" workbookViewId="0">
      <selection activeCell="L274" sqref="L274"/>
    </sheetView>
  </sheetViews>
  <sheetFormatPr defaultRowHeight="12.75"/>
  <cols>
    <col min="1" max="1" width="35.42578125" customWidth="1"/>
    <col min="2" max="2" width="10.140625" customWidth="1"/>
    <col min="3" max="3" width="2.7109375" customWidth="1"/>
    <col min="4" max="4" width="14" customWidth="1"/>
    <col min="8" max="8" width="9.85546875" bestFit="1" customWidth="1"/>
    <col min="10" max="10" width="9.28515625" bestFit="1" customWidth="1"/>
    <col min="12" max="12" width="9.28515625" bestFit="1" customWidth="1"/>
    <col min="21" max="21" width="10" customWidth="1"/>
    <col min="267" max="267" width="35.42578125" customWidth="1"/>
    <col min="268" max="268" width="10.140625" customWidth="1"/>
    <col min="269" max="269" width="14" customWidth="1"/>
    <col min="270" max="270" width="10.140625" customWidth="1"/>
    <col min="271" max="271" width="14" customWidth="1"/>
    <col min="279" max="279" width="10" customWidth="1"/>
    <col min="523" max="523" width="35.42578125" customWidth="1"/>
    <col min="524" max="524" width="10.140625" customWidth="1"/>
    <col min="525" max="525" width="14" customWidth="1"/>
    <col min="526" max="526" width="10.140625" customWidth="1"/>
    <col min="527" max="527" width="14" customWidth="1"/>
    <col min="535" max="535" width="10" customWidth="1"/>
    <col min="779" max="779" width="35.42578125" customWidth="1"/>
    <col min="780" max="780" width="10.140625" customWidth="1"/>
    <col min="781" max="781" width="14" customWidth="1"/>
    <col min="782" max="782" width="10.140625" customWidth="1"/>
    <col min="783" max="783" width="14" customWidth="1"/>
    <col min="791" max="791" width="10" customWidth="1"/>
    <col min="1035" max="1035" width="35.42578125" customWidth="1"/>
    <col min="1036" max="1036" width="10.140625" customWidth="1"/>
    <col min="1037" max="1037" width="14" customWidth="1"/>
    <col min="1038" max="1038" width="10.140625" customWidth="1"/>
    <col min="1039" max="1039" width="14" customWidth="1"/>
    <col min="1047" max="1047" width="10" customWidth="1"/>
    <col min="1291" max="1291" width="35.42578125" customWidth="1"/>
    <col min="1292" max="1292" width="10.140625" customWidth="1"/>
    <col min="1293" max="1293" width="14" customWidth="1"/>
    <col min="1294" max="1294" width="10.140625" customWidth="1"/>
    <col min="1295" max="1295" width="14" customWidth="1"/>
    <col min="1303" max="1303" width="10" customWidth="1"/>
    <col min="1547" max="1547" width="35.42578125" customWidth="1"/>
    <col min="1548" max="1548" width="10.140625" customWidth="1"/>
    <col min="1549" max="1549" width="14" customWidth="1"/>
    <col min="1550" max="1550" width="10.140625" customWidth="1"/>
    <col min="1551" max="1551" width="14" customWidth="1"/>
    <col min="1559" max="1559" width="10" customWidth="1"/>
    <col min="1803" max="1803" width="35.42578125" customWidth="1"/>
    <col min="1804" max="1804" width="10.140625" customWidth="1"/>
    <col min="1805" max="1805" width="14" customWidth="1"/>
    <col min="1806" max="1806" width="10.140625" customWidth="1"/>
    <col min="1807" max="1807" width="14" customWidth="1"/>
    <col min="1815" max="1815" width="10" customWidth="1"/>
    <col min="2059" max="2059" width="35.42578125" customWidth="1"/>
    <col min="2060" max="2060" width="10.140625" customWidth="1"/>
    <col min="2061" max="2061" width="14" customWidth="1"/>
    <col min="2062" max="2062" width="10.140625" customWidth="1"/>
    <col min="2063" max="2063" width="14" customWidth="1"/>
    <col min="2071" max="2071" width="10" customWidth="1"/>
    <col min="2315" max="2315" width="35.42578125" customWidth="1"/>
    <col min="2316" max="2316" width="10.140625" customWidth="1"/>
    <col min="2317" max="2317" width="14" customWidth="1"/>
    <col min="2318" max="2318" width="10.140625" customWidth="1"/>
    <col min="2319" max="2319" width="14" customWidth="1"/>
    <col min="2327" max="2327" width="10" customWidth="1"/>
    <col min="2571" max="2571" width="35.42578125" customWidth="1"/>
    <col min="2572" max="2572" width="10.140625" customWidth="1"/>
    <col min="2573" max="2573" width="14" customWidth="1"/>
    <col min="2574" max="2574" width="10.140625" customWidth="1"/>
    <col min="2575" max="2575" width="14" customWidth="1"/>
    <col min="2583" max="2583" width="10" customWidth="1"/>
    <col min="2827" max="2827" width="35.42578125" customWidth="1"/>
    <col min="2828" max="2828" width="10.140625" customWidth="1"/>
    <col min="2829" max="2829" width="14" customWidth="1"/>
    <col min="2830" max="2830" width="10.140625" customWidth="1"/>
    <col min="2831" max="2831" width="14" customWidth="1"/>
    <col min="2839" max="2839" width="10" customWidth="1"/>
    <col min="3083" max="3083" width="35.42578125" customWidth="1"/>
    <col min="3084" max="3084" width="10.140625" customWidth="1"/>
    <col min="3085" max="3085" width="14" customWidth="1"/>
    <col min="3086" max="3086" width="10.140625" customWidth="1"/>
    <col min="3087" max="3087" width="14" customWidth="1"/>
    <col min="3095" max="3095" width="10" customWidth="1"/>
    <col min="3339" max="3339" width="35.42578125" customWidth="1"/>
    <col min="3340" max="3340" width="10.140625" customWidth="1"/>
    <col min="3341" max="3341" width="14" customWidth="1"/>
    <col min="3342" max="3342" width="10.140625" customWidth="1"/>
    <col min="3343" max="3343" width="14" customWidth="1"/>
    <col min="3351" max="3351" width="10" customWidth="1"/>
    <col min="3595" max="3595" width="35.42578125" customWidth="1"/>
    <col min="3596" max="3596" width="10.140625" customWidth="1"/>
    <col min="3597" max="3597" width="14" customWidth="1"/>
    <col min="3598" max="3598" width="10.140625" customWidth="1"/>
    <col min="3599" max="3599" width="14" customWidth="1"/>
    <col min="3607" max="3607" width="10" customWidth="1"/>
    <col min="3851" max="3851" width="35.42578125" customWidth="1"/>
    <col min="3852" max="3852" width="10.140625" customWidth="1"/>
    <col min="3853" max="3853" width="14" customWidth="1"/>
    <col min="3854" max="3854" width="10.140625" customWidth="1"/>
    <col min="3855" max="3855" width="14" customWidth="1"/>
    <col min="3863" max="3863" width="10" customWidth="1"/>
    <col min="4107" max="4107" width="35.42578125" customWidth="1"/>
    <col min="4108" max="4108" width="10.140625" customWidth="1"/>
    <col min="4109" max="4109" width="14" customWidth="1"/>
    <col min="4110" max="4110" width="10.140625" customWidth="1"/>
    <col min="4111" max="4111" width="14" customWidth="1"/>
    <col min="4119" max="4119" width="10" customWidth="1"/>
    <col min="4363" max="4363" width="35.42578125" customWidth="1"/>
    <col min="4364" max="4364" width="10.140625" customWidth="1"/>
    <col min="4365" max="4365" width="14" customWidth="1"/>
    <col min="4366" max="4366" width="10.140625" customWidth="1"/>
    <col min="4367" max="4367" width="14" customWidth="1"/>
    <col min="4375" max="4375" width="10" customWidth="1"/>
    <col min="4619" max="4619" width="35.42578125" customWidth="1"/>
    <col min="4620" max="4620" width="10.140625" customWidth="1"/>
    <col min="4621" max="4621" width="14" customWidth="1"/>
    <col min="4622" max="4622" width="10.140625" customWidth="1"/>
    <col min="4623" max="4623" width="14" customWidth="1"/>
    <col min="4631" max="4631" width="10" customWidth="1"/>
    <col min="4875" max="4875" width="35.42578125" customWidth="1"/>
    <col min="4876" max="4876" width="10.140625" customWidth="1"/>
    <col min="4877" max="4877" width="14" customWidth="1"/>
    <col min="4878" max="4878" width="10.140625" customWidth="1"/>
    <col min="4879" max="4879" width="14" customWidth="1"/>
    <col min="4887" max="4887" width="10" customWidth="1"/>
    <col min="5131" max="5131" width="35.42578125" customWidth="1"/>
    <col min="5132" max="5132" width="10.140625" customWidth="1"/>
    <col min="5133" max="5133" width="14" customWidth="1"/>
    <col min="5134" max="5134" width="10.140625" customWidth="1"/>
    <col min="5135" max="5135" width="14" customWidth="1"/>
    <col min="5143" max="5143" width="10" customWidth="1"/>
    <col min="5387" max="5387" width="35.42578125" customWidth="1"/>
    <col min="5388" max="5388" width="10.140625" customWidth="1"/>
    <col min="5389" max="5389" width="14" customWidth="1"/>
    <col min="5390" max="5390" width="10.140625" customWidth="1"/>
    <col min="5391" max="5391" width="14" customWidth="1"/>
    <col min="5399" max="5399" width="10" customWidth="1"/>
    <col min="5643" max="5643" width="35.42578125" customWidth="1"/>
    <col min="5644" max="5644" width="10.140625" customWidth="1"/>
    <col min="5645" max="5645" width="14" customWidth="1"/>
    <col min="5646" max="5646" width="10.140625" customWidth="1"/>
    <col min="5647" max="5647" width="14" customWidth="1"/>
    <col min="5655" max="5655" width="10" customWidth="1"/>
    <col min="5899" max="5899" width="35.42578125" customWidth="1"/>
    <col min="5900" max="5900" width="10.140625" customWidth="1"/>
    <col min="5901" max="5901" width="14" customWidth="1"/>
    <col min="5902" max="5902" width="10.140625" customWidth="1"/>
    <col min="5903" max="5903" width="14" customWidth="1"/>
    <col min="5911" max="5911" width="10" customWidth="1"/>
    <col min="6155" max="6155" width="35.42578125" customWidth="1"/>
    <col min="6156" max="6156" width="10.140625" customWidth="1"/>
    <col min="6157" max="6157" width="14" customWidth="1"/>
    <col min="6158" max="6158" width="10.140625" customWidth="1"/>
    <col min="6159" max="6159" width="14" customWidth="1"/>
    <col min="6167" max="6167" width="10" customWidth="1"/>
    <col min="6411" max="6411" width="35.42578125" customWidth="1"/>
    <col min="6412" max="6412" width="10.140625" customWidth="1"/>
    <col min="6413" max="6413" width="14" customWidth="1"/>
    <col min="6414" max="6414" width="10.140625" customWidth="1"/>
    <col min="6415" max="6415" width="14" customWidth="1"/>
    <col min="6423" max="6423" width="10" customWidth="1"/>
    <col min="6667" max="6667" width="35.42578125" customWidth="1"/>
    <col min="6668" max="6668" width="10.140625" customWidth="1"/>
    <col min="6669" max="6669" width="14" customWidth="1"/>
    <col min="6670" max="6670" width="10.140625" customWidth="1"/>
    <col min="6671" max="6671" width="14" customWidth="1"/>
    <col min="6679" max="6679" width="10" customWidth="1"/>
    <col min="6923" max="6923" width="35.42578125" customWidth="1"/>
    <col min="6924" max="6924" width="10.140625" customWidth="1"/>
    <col min="6925" max="6925" width="14" customWidth="1"/>
    <col min="6926" max="6926" width="10.140625" customWidth="1"/>
    <col min="6927" max="6927" width="14" customWidth="1"/>
    <col min="6935" max="6935" width="10" customWidth="1"/>
    <col min="7179" max="7179" width="35.42578125" customWidth="1"/>
    <col min="7180" max="7180" width="10.140625" customWidth="1"/>
    <col min="7181" max="7181" width="14" customWidth="1"/>
    <col min="7182" max="7182" width="10.140625" customWidth="1"/>
    <col min="7183" max="7183" width="14" customWidth="1"/>
    <col min="7191" max="7191" width="10" customWidth="1"/>
    <col min="7435" max="7435" width="35.42578125" customWidth="1"/>
    <col min="7436" max="7436" width="10.140625" customWidth="1"/>
    <col min="7437" max="7437" width="14" customWidth="1"/>
    <col min="7438" max="7438" width="10.140625" customWidth="1"/>
    <col min="7439" max="7439" width="14" customWidth="1"/>
    <col min="7447" max="7447" width="10" customWidth="1"/>
    <col min="7691" max="7691" width="35.42578125" customWidth="1"/>
    <col min="7692" max="7692" width="10.140625" customWidth="1"/>
    <col min="7693" max="7693" width="14" customWidth="1"/>
    <col min="7694" max="7694" width="10.140625" customWidth="1"/>
    <col min="7695" max="7695" width="14" customWidth="1"/>
    <col min="7703" max="7703" width="10" customWidth="1"/>
    <col min="7947" max="7947" width="35.42578125" customWidth="1"/>
    <col min="7948" max="7948" width="10.140625" customWidth="1"/>
    <col min="7949" max="7949" width="14" customWidth="1"/>
    <col min="7950" max="7950" width="10.140625" customWidth="1"/>
    <col min="7951" max="7951" width="14" customWidth="1"/>
    <col min="7959" max="7959" width="10" customWidth="1"/>
    <col min="8203" max="8203" width="35.42578125" customWidth="1"/>
    <col min="8204" max="8204" width="10.140625" customWidth="1"/>
    <col min="8205" max="8205" width="14" customWidth="1"/>
    <col min="8206" max="8206" width="10.140625" customWidth="1"/>
    <col min="8207" max="8207" width="14" customWidth="1"/>
    <col min="8215" max="8215" width="10" customWidth="1"/>
    <col min="8459" max="8459" width="35.42578125" customWidth="1"/>
    <col min="8460" max="8460" width="10.140625" customWidth="1"/>
    <col min="8461" max="8461" width="14" customWidth="1"/>
    <col min="8462" max="8462" width="10.140625" customWidth="1"/>
    <col min="8463" max="8463" width="14" customWidth="1"/>
    <col min="8471" max="8471" width="10" customWidth="1"/>
    <col min="8715" max="8715" width="35.42578125" customWidth="1"/>
    <col min="8716" max="8716" width="10.140625" customWidth="1"/>
    <col min="8717" max="8717" width="14" customWidth="1"/>
    <col min="8718" max="8718" width="10.140625" customWidth="1"/>
    <col min="8719" max="8719" width="14" customWidth="1"/>
    <col min="8727" max="8727" width="10" customWidth="1"/>
    <col min="8971" max="8971" width="35.42578125" customWidth="1"/>
    <col min="8972" max="8972" width="10.140625" customWidth="1"/>
    <col min="8973" max="8973" width="14" customWidth="1"/>
    <col min="8974" max="8974" width="10.140625" customWidth="1"/>
    <col min="8975" max="8975" width="14" customWidth="1"/>
    <col min="8983" max="8983" width="10" customWidth="1"/>
    <col min="9227" max="9227" width="35.42578125" customWidth="1"/>
    <col min="9228" max="9228" width="10.140625" customWidth="1"/>
    <col min="9229" max="9229" width="14" customWidth="1"/>
    <col min="9230" max="9230" width="10.140625" customWidth="1"/>
    <col min="9231" max="9231" width="14" customWidth="1"/>
    <col min="9239" max="9239" width="10" customWidth="1"/>
    <col min="9483" max="9483" width="35.42578125" customWidth="1"/>
    <col min="9484" max="9484" width="10.140625" customWidth="1"/>
    <col min="9485" max="9485" width="14" customWidth="1"/>
    <col min="9486" max="9486" width="10.140625" customWidth="1"/>
    <col min="9487" max="9487" width="14" customWidth="1"/>
    <col min="9495" max="9495" width="10" customWidth="1"/>
    <col min="9739" max="9739" width="35.42578125" customWidth="1"/>
    <col min="9740" max="9740" width="10.140625" customWidth="1"/>
    <col min="9741" max="9741" width="14" customWidth="1"/>
    <col min="9742" max="9742" width="10.140625" customWidth="1"/>
    <col min="9743" max="9743" width="14" customWidth="1"/>
    <col min="9751" max="9751" width="10" customWidth="1"/>
    <col min="9995" max="9995" width="35.42578125" customWidth="1"/>
    <col min="9996" max="9996" width="10.140625" customWidth="1"/>
    <col min="9997" max="9997" width="14" customWidth="1"/>
    <col min="9998" max="9998" width="10.140625" customWidth="1"/>
    <col min="9999" max="9999" width="14" customWidth="1"/>
    <col min="10007" max="10007" width="10" customWidth="1"/>
    <col min="10251" max="10251" width="35.42578125" customWidth="1"/>
    <col min="10252" max="10252" width="10.140625" customWidth="1"/>
    <col min="10253" max="10253" width="14" customWidth="1"/>
    <col min="10254" max="10254" width="10.140625" customWidth="1"/>
    <col min="10255" max="10255" width="14" customWidth="1"/>
    <col min="10263" max="10263" width="10" customWidth="1"/>
    <col min="10507" max="10507" width="35.42578125" customWidth="1"/>
    <col min="10508" max="10508" width="10.140625" customWidth="1"/>
    <col min="10509" max="10509" width="14" customWidth="1"/>
    <col min="10510" max="10510" width="10.140625" customWidth="1"/>
    <col min="10511" max="10511" width="14" customWidth="1"/>
    <col min="10519" max="10519" width="10" customWidth="1"/>
    <col min="10763" max="10763" width="35.42578125" customWidth="1"/>
    <col min="10764" max="10764" width="10.140625" customWidth="1"/>
    <col min="10765" max="10765" width="14" customWidth="1"/>
    <col min="10766" max="10766" width="10.140625" customWidth="1"/>
    <col min="10767" max="10767" width="14" customWidth="1"/>
    <col min="10775" max="10775" width="10" customWidth="1"/>
    <col min="11019" max="11019" width="35.42578125" customWidth="1"/>
    <col min="11020" max="11020" width="10.140625" customWidth="1"/>
    <col min="11021" max="11021" width="14" customWidth="1"/>
    <col min="11022" max="11022" width="10.140625" customWidth="1"/>
    <col min="11023" max="11023" width="14" customWidth="1"/>
    <col min="11031" max="11031" width="10" customWidth="1"/>
    <col min="11275" max="11275" width="35.42578125" customWidth="1"/>
    <col min="11276" max="11276" width="10.140625" customWidth="1"/>
    <col min="11277" max="11277" width="14" customWidth="1"/>
    <col min="11278" max="11278" width="10.140625" customWidth="1"/>
    <col min="11279" max="11279" width="14" customWidth="1"/>
    <col min="11287" max="11287" width="10" customWidth="1"/>
    <col min="11531" max="11531" width="35.42578125" customWidth="1"/>
    <col min="11532" max="11532" width="10.140625" customWidth="1"/>
    <col min="11533" max="11533" width="14" customWidth="1"/>
    <col min="11534" max="11534" width="10.140625" customWidth="1"/>
    <col min="11535" max="11535" width="14" customWidth="1"/>
    <col min="11543" max="11543" width="10" customWidth="1"/>
    <col min="11787" max="11787" width="35.42578125" customWidth="1"/>
    <col min="11788" max="11788" width="10.140625" customWidth="1"/>
    <col min="11789" max="11789" width="14" customWidth="1"/>
    <col min="11790" max="11790" width="10.140625" customWidth="1"/>
    <col min="11791" max="11791" width="14" customWidth="1"/>
    <col min="11799" max="11799" width="10" customWidth="1"/>
    <col min="12043" max="12043" width="35.42578125" customWidth="1"/>
    <col min="12044" max="12044" width="10.140625" customWidth="1"/>
    <col min="12045" max="12045" width="14" customWidth="1"/>
    <col min="12046" max="12046" width="10.140625" customWidth="1"/>
    <col min="12047" max="12047" width="14" customWidth="1"/>
    <col min="12055" max="12055" width="10" customWidth="1"/>
    <col min="12299" max="12299" width="35.42578125" customWidth="1"/>
    <col min="12300" max="12300" width="10.140625" customWidth="1"/>
    <col min="12301" max="12301" width="14" customWidth="1"/>
    <col min="12302" max="12302" width="10.140625" customWidth="1"/>
    <col min="12303" max="12303" width="14" customWidth="1"/>
    <col min="12311" max="12311" width="10" customWidth="1"/>
    <col min="12555" max="12555" width="35.42578125" customWidth="1"/>
    <col min="12556" max="12556" width="10.140625" customWidth="1"/>
    <col min="12557" max="12557" width="14" customWidth="1"/>
    <col min="12558" max="12558" width="10.140625" customWidth="1"/>
    <col min="12559" max="12559" width="14" customWidth="1"/>
    <col min="12567" max="12567" width="10" customWidth="1"/>
    <col min="12811" max="12811" width="35.42578125" customWidth="1"/>
    <col min="12812" max="12812" width="10.140625" customWidth="1"/>
    <col min="12813" max="12813" width="14" customWidth="1"/>
    <col min="12814" max="12814" width="10.140625" customWidth="1"/>
    <col min="12815" max="12815" width="14" customWidth="1"/>
    <col min="12823" max="12823" width="10" customWidth="1"/>
    <col min="13067" max="13067" width="35.42578125" customWidth="1"/>
    <col min="13068" max="13068" width="10.140625" customWidth="1"/>
    <col min="13069" max="13069" width="14" customWidth="1"/>
    <col min="13070" max="13070" width="10.140625" customWidth="1"/>
    <col min="13071" max="13071" width="14" customWidth="1"/>
    <col min="13079" max="13079" width="10" customWidth="1"/>
    <col min="13323" max="13323" width="35.42578125" customWidth="1"/>
    <col min="13324" max="13324" width="10.140625" customWidth="1"/>
    <col min="13325" max="13325" width="14" customWidth="1"/>
    <col min="13326" max="13326" width="10.140625" customWidth="1"/>
    <col min="13327" max="13327" width="14" customWidth="1"/>
    <col min="13335" max="13335" width="10" customWidth="1"/>
    <col min="13579" max="13579" width="35.42578125" customWidth="1"/>
    <col min="13580" max="13580" width="10.140625" customWidth="1"/>
    <col min="13581" max="13581" width="14" customWidth="1"/>
    <col min="13582" max="13582" width="10.140625" customWidth="1"/>
    <col min="13583" max="13583" width="14" customWidth="1"/>
    <col min="13591" max="13591" width="10" customWidth="1"/>
    <col min="13835" max="13835" width="35.42578125" customWidth="1"/>
    <col min="13836" max="13836" width="10.140625" customWidth="1"/>
    <col min="13837" max="13837" width="14" customWidth="1"/>
    <col min="13838" max="13838" width="10.140625" customWidth="1"/>
    <col min="13839" max="13839" width="14" customWidth="1"/>
    <col min="13847" max="13847" width="10" customWidth="1"/>
    <col min="14091" max="14091" width="35.42578125" customWidth="1"/>
    <col min="14092" max="14092" width="10.140625" customWidth="1"/>
    <col min="14093" max="14093" width="14" customWidth="1"/>
    <col min="14094" max="14094" width="10.140625" customWidth="1"/>
    <col min="14095" max="14095" width="14" customWidth="1"/>
    <col min="14103" max="14103" width="10" customWidth="1"/>
    <col min="14347" max="14347" width="35.42578125" customWidth="1"/>
    <col min="14348" max="14348" width="10.140625" customWidth="1"/>
    <col min="14349" max="14349" width="14" customWidth="1"/>
    <col min="14350" max="14350" width="10.140625" customWidth="1"/>
    <col min="14351" max="14351" width="14" customWidth="1"/>
    <col min="14359" max="14359" width="10" customWidth="1"/>
    <col min="14603" max="14603" width="35.42578125" customWidth="1"/>
    <col min="14604" max="14604" width="10.140625" customWidth="1"/>
    <col min="14605" max="14605" width="14" customWidth="1"/>
    <col min="14606" max="14606" width="10.140625" customWidth="1"/>
    <col min="14607" max="14607" width="14" customWidth="1"/>
    <col min="14615" max="14615" width="10" customWidth="1"/>
    <col min="14859" max="14859" width="35.42578125" customWidth="1"/>
    <col min="14860" max="14860" width="10.140625" customWidth="1"/>
    <col min="14861" max="14861" width="14" customWidth="1"/>
    <col min="14862" max="14862" width="10.140625" customWidth="1"/>
    <col min="14863" max="14863" width="14" customWidth="1"/>
    <col min="14871" max="14871" width="10" customWidth="1"/>
    <col min="15115" max="15115" width="35.42578125" customWidth="1"/>
    <col min="15116" max="15116" width="10.140625" customWidth="1"/>
    <col min="15117" max="15117" width="14" customWidth="1"/>
    <col min="15118" max="15118" width="10.140625" customWidth="1"/>
    <col min="15119" max="15119" width="14" customWidth="1"/>
    <col min="15127" max="15127" width="10" customWidth="1"/>
    <col min="15371" max="15371" width="35.42578125" customWidth="1"/>
    <col min="15372" max="15372" width="10.140625" customWidth="1"/>
    <col min="15373" max="15373" width="14" customWidth="1"/>
    <col min="15374" max="15374" width="10.140625" customWidth="1"/>
    <col min="15375" max="15375" width="14" customWidth="1"/>
    <col min="15383" max="15383" width="10" customWidth="1"/>
    <col min="15627" max="15627" width="35.42578125" customWidth="1"/>
    <col min="15628" max="15628" width="10.140625" customWidth="1"/>
    <col min="15629" max="15629" width="14" customWidth="1"/>
    <col min="15630" max="15630" width="10.140625" customWidth="1"/>
    <col min="15631" max="15631" width="14" customWidth="1"/>
    <col min="15639" max="15639" width="10" customWidth="1"/>
    <col min="15883" max="15883" width="35.42578125" customWidth="1"/>
    <col min="15884" max="15884" width="10.140625" customWidth="1"/>
    <col min="15885" max="15885" width="14" customWidth="1"/>
    <col min="15886" max="15886" width="10.140625" customWidth="1"/>
    <col min="15887" max="15887" width="14" customWidth="1"/>
    <col min="15895" max="15895" width="10" customWidth="1"/>
    <col min="16139" max="16139" width="35.42578125" customWidth="1"/>
    <col min="16140" max="16140" width="10.140625" customWidth="1"/>
    <col min="16141" max="16141" width="14" customWidth="1"/>
    <col min="16142" max="16142" width="10.140625" customWidth="1"/>
    <col min="16143" max="16143" width="14" customWidth="1"/>
    <col min="16151" max="16151" width="10" customWidth="1"/>
  </cols>
  <sheetData>
    <row r="1" spans="1:22">
      <c r="B1" s="41" t="s">
        <v>417</v>
      </c>
      <c r="C1" s="41"/>
    </row>
    <row r="2" spans="1:22">
      <c r="B2" s="41" t="s">
        <v>58</v>
      </c>
      <c r="C2" s="41"/>
    </row>
    <row r="3" spans="1:22">
      <c r="B3" s="41" t="s">
        <v>16</v>
      </c>
      <c r="C3" s="41"/>
      <c r="E3" s="2" t="s">
        <v>59</v>
      </c>
      <c r="U3" s="2"/>
      <c r="V3" s="2" t="s">
        <v>92</v>
      </c>
    </row>
    <row r="4" spans="1:22">
      <c r="A4" s="2" t="s">
        <v>11</v>
      </c>
      <c r="B4" s="106"/>
      <c r="C4" s="106"/>
    </row>
    <row r="5" spans="1:22">
      <c r="B5" s="106"/>
      <c r="C5" s="106"/>
    </row>
    <row r="6" spans="1:22">
      <c r="A6" t="s">
        <v>0</v>
      </c>
      <c r="B6" s="46">
        <f>'Disability $ details 05-06'!B6*0.031</f>
        <v>16.739999999999998</v>
      </c>
      <c r="C6" s="46"/>
      <c r="D6" s="22" t="s">
        <v>217</v>
      </c>
      <c r="E6" t="s">
        <v>354</v>
      </c>
      <c r="V6" s="38" t="s">
        <v>344</v>
      </c>
    </row>
    <row r="7" spans="1:22">
      <c r="A7" t="s">
        <v>1</v>
      </c>
      <c r="B7" s="46">
        <f>'Disability $ details 05-06'!B7*0.031</f>
        <v>27.125</v>
      </c>
      <c r="C7" s="46"/>
      <c r="D7" s="22" t="s">
        <v>217</v>
      </c>
      <c r="E7" t="s">
        <v>218</v>
      </c>
      <c r="Q7" t="s">
        <v>93</v>
      </c>
    </row>
    <row r="8" spans="1:22">
      <c r="A8" t="s">
        <v>14</v>
      </c>
      <c r="B8" s="46">
        <f>'Disability $ details 05-06'!B8*0.031</f>
        <v>2.6349999999999998</v>
      </c>
      <c r="C8" s="46"/>
      <c r="D8" s="22" t="s">
        <v>217</v>
      </c>
      <c r="E8" t="s">
        <v>456</v>
      </c>
    </row>
    <row r="9" spans="1:22">
      <c r="A9" t="s">
        <v>2</v>
      </c>
      <c r="B9" s="46">
        <f>'Disability $ details 05-06'!B9*0.031</f>
        <v>0.155</v>
      </c>
      <c r="C9" s="46"/>
      <c r="D9" s="22" t="s">
        <v>217</v>
      </c>
    </row>
    <row r="10" spans="1:22">
      <c r="A10" t="s">
        <v>68</v>
      </c>
      <c r="B10" s="46">
        <f>'Disability $ details 05-06'!B10*0.031</f>
        <v>0</v>
      </c>
      <c r="C10" s="46"/>
      <c r="D10" s="22" t="s">
        <v>217</v>
      </c>
    </row>
    <row r="11" spans="1:22">
      <c r="A11" t="s">
        <v>3</v>
      </c>
      <c r="B11" s="46">
        <f>'Disability $ details 05-06'!B11*0.031</f>
        <v>3.5649999999999999</v>
      </c>
      <c r="C11" s="46"/>
      <c r="D11" s="22" t="s">
        <v>217</v>
      </c>
    </row>
    <row r="12" spans="1:22">
      <c r="A12" t="s">
        <v>15</v>
      </c>
      <c r="B12" s="46">
        <f>'Disability $ details 05-06'!B12*0.031</f>
        <v>2.79</v>
      </c>
      <c r="C12" s="46"/>
      <c r="D12" s="22" t="s">
        <v>217</v>
      </c>
      <c r="U12" s="7"/>
    </row>
    <row r="13" spans="1:22">
      <c r="A13" s="3" t="s">
        <v>24</v>
      </c>
      <c r="B13" s="104">
        <f>SUM(B6:B12)</f>
        <v>53.009999999999991</v>
      </c>
      <c r="C13" s="104"/>
      <c r="D13" s="22" t="s">
        <v>217</v>
      </c>
      <c r="U13" s="7"/>
    </row>
    <row r="14" spans="1:22">
      <c r="B14" s="46"/>
      <c r="C14" s="46"/>
      <c r="D14" s="22"/>
      <c r="U14" s="7"/>
    </row>
    <row r="15" spans="1:22">
      <c r="A15" s="2" t="s">
        <v>4</v>
      </c>
      <c r="B15" s="46"/>
      <c r="C15" s="46"/>
      <c r="D15" s="22"/>
      <c r="U15" s="7"/>
    </row>
    <row r="16" spans="1:22">
      <c r="A16" t="s">
        <v>5</v>
      </c>
      <c r="B16" s="46">
        <v>80.5</v>
      </c>
      <c r="C16" s="46"/>
      <c r="D16" s="22"/>
      <c r="E16" t="s">
        <v>484</v>
      </c>
      <c r="U16" s="7"/>
      <c r="V16" t="s">
        <v>220</v>
      </c>
    </row>
    <row r="17" spans="1:22">
      <c r="A17" t="s">
        <v>69</v>
      </c>
      <c r="C17" s="105"/>
      <c r="D17" s="22"/>
      <c r="U17" s="7"/>
    </row>
    <row r="18" spans="1:22">
      <c r="A18" t="s">
        <v>6</v>
      </c>
      <c r="B18" s="105">
        <v>16.600000000000001</v>
      </c>
      <c r="C18" s="46"/>
      <c r="D18" s="22"/>
      <c r="E18" t="s">
        <v>316</v>
      </c>
      <c r="U18" s="7"/>
      <c r="V18" s="38" t="s">
        <v>72</v>
      </c>
    </row>
    <row r="19" spans="1:22">
      <c r="A19" s="3" t="s">
        <v>24</v>
      </c>
      <c r="B19" s="104">
        <f>SUM(B16:B18)</f>
        <v>97.1</v>
      </c>
      <c r="C19" s="104"/>
      <c r="D19" s="22"/>
      <c r="U19" s="7"/>
    </row>
    <row r="20" spans="1:22">
      <c r="B20" s="46"/>
      <c r="C20" s="46"/>
      <c r="D20" s="22"/>
      <c r="U20" s="7"/>
    </row>
    <row r="21" spans="1:22">
      <c r="A21" t="s">
        <v>101</v>
      </c>
      <c r="B21" s="46">
        <f>1656*0.036</f>
        <v>59.615999999999993</v>
      </c>
      <c r="C21" s="46" t="s">
        <v>437</v>
      </c>
      <c r="D21" s="22"/>
      <c r="E21" t="s">
        <v>333</v>
      </c>
      <c r="U21" s="7"/>
      <c r="V21" t="s">
        <v>102</v>
      </c>
    </row>
    <row r="22" spans="1:22">
      <c r="A22" s="3" t="s">
        <v>221</v>
      </c>
      <c r="B22" s="104">
        <f>SUM(B21)</f>
        <v>59.615999999999993</v>
      </c>
      <c r="C22" s="104"/>
      <c r="D22" s="22"/>
      <c r="E22" t="s">
        <v>428</v>
      </c>
      <c r="U22" s="7"/>
      <c r="V22" t="s">
        <v>103</v>
      </c>
    </row>
    <row r="23" spans="1:22">
      <c r="A23" s="3"/>
      <c r="B23" s="104"/>
      <c r="C23" s="104"/>
      <c r="D23" s="22"/>
      <c r="U23" s="7"/>
    </row>
    <row r="24" spans="1:22">
      <c r="A24" s="50" t="s">
        <v>334</v>
      </c>
      <c r="B24" s="46"/>
      <c r="C24" s="46"/>
      <c r="D24" s="247"/>
      <c r="R24" s="9"/>
      <c r="S24" s="9"/>
      <c r="U24" s="7"/>
    </row>
    <row r="25" spans="1:22">
      <c r="A25" s="39" t="s">
        <v>335</v>
      </c>
      <c r="B25" s="46">
        <f>'SA by provi 05-06'!B24*0.55</f>
        <v>110.38500000000001</v>
      </c>
      <c r="C25" s="46" t="s">
        <v>237</v>
      </c>
      <c r="D25" s="44"/>
      <c r="E25" s="75" t="s">
        <v>259</v>
      </c>
      <c r="U25" s="7"/>
      <c r="V25" s="38" t="s">
        <v>260</v>
      </c>
    </row>
    <row r="26" spans="1:22">
      <c r="A26" s="39" t="s">
        <v>12</v>
      </c>
      <c r="B26" s="46">
        <f>110.5*0.55</f>
        <v>60.775000000000006</v>
      </c>
      <c r="C26" s="46" t="s">
        <v>237</v>
      </c>
      <c r="D26" s="247"/>
      <c r="E26" t="s">
        <v>656</v>
      </c>
      <c r="U26" s="7"/>
    </row>
    <row r="27" spans="1:22">
      <c r="A27" s="258" t="s">
        <v>24</v>
      </c>
      <c r="B27" s="104">
        <f>SUM(B25:B26)</f>
        <v>171.16000000000003</v>
      </c>
      <c r="C27" s="104" t="s">
        <v>237</v>
      </c>
      <c r="D27" s="247"/>
      <c r="U27" s="7"/>
    </row>
    <row r="28" spans="1:22">
      <c r="A28" s="258"/>
      <c r="B28" s="104"/>
      <c r="C28" s="104"/>
      <c r="D28" s="247"/>
      <c r="U28" s="7"/>
    </row>
    <row r="29" spans="1:22">
      <c r="A29" s="50" t="s">
        <v>13</v>
      </c>
      <c r="B29" s="46"/>
      <c r="C29" s="46"/>
      <c r="D29" s="247"/>
      <c r="U29" s="7"/>
    </row>
    <row r="30" spans="1:22">
      <c r="A30" s="39" t="s">
        <v>7</v>
      </c>
      <c r="B30" s="46">
        <v>112.9</v>
      </c>
      <c r="C30" s="46"/>
      <c r="D30" s="247">
        <v>2005</v>
      </c>
      <c r="E30" t="s">
        <v>96</v>
      </c>
      <c r="U30" s="7"/>
      <c r="V30" t="s">
        <v>324</v>
      </c>
    </row>
    <row r="31" spans="1:22">
      <c r="A31" s="39" t="s">
        <v>8</v>
      </c>
      <c r="B31" s="46"/>
      <c r="C31" s="46"/>
      <c r="D31" s="247"/>
      <c r="E31" t="s">
        <v>70</v>
      </c>
      <c r="U31" s="7"/>
    </row>
    <row r="32" spans="1:22">
      <c r="A32" s="258" t="s">
        <v>57</v>
      </c>
      <c r="B32" s="104">
        <f>SUM(B30:B31)</f>
        <v>112.9</v>
      </c>
      <c r="C32" s="104"/>
      <c r="D32" s="247"/>
      <c r="U32" s="7"/>
    </row>
    <row r="33" spans="1:22">
      <c r="A33" s="39" t="s">
        <v>64</v>
      </c>
      <c r="B33" s="46"/>
      <c r="C33" s="46"/>
      <c r="D33" s="247"/>
      <c r="U33" s="7"/>
    </row>
    <row r="34" spans="1:22">
      <c r="A34" s="39" t="s">
        <v>9</v>
      </c>
      <c r="B34" s="46">
        <v>14</v>
      </c>
      <c r="C34" s="46"/>
      <c r="D34" s="247">
        <v>2005</v>
      </c>
      <c r="E34" t="s">
        <v>61</v>
      </c>
      <c r="U34" s="7"/>
      <c r="V34" t="s">
        <v>75</v>
      </c>
    </row>
    <row r="35" spans="1:22">
      <c r="A35" s="39" t="s">
        <v>10</v>
      </c>
      <c r="B35" s="46">
        <v>78</v>
      </c>
      <c r="C35" s="46"/>
      <c r="D35" s="247"/>
      <c r="U35" s="7"/>
      <c r="V35" t="s">
        <v>430</v>
      </c>
    </row>
    <row r="36" spans="1:22">
      <c r="A36" s="258" t="s">
        <v>24</v>
      </c>
      <c r="B36" s="104">
        <f>SUM(B34:B35)</f>
        <v>92</v>
      </c>
      <c r="C36" s="104"/>
      <c r="D36" s="247"/>
      <c r="U36" s="7"/>
    </row>
    <row r="37" spans="1:22">
      <c r="A37" s="39"/>
      <c r="B37" s="46"/>
      <c r="C37" s="46"/>
      <c r="D37" s="247"/>
    </row>
    <row r="38" spans="1:22" ht="15.75">
      <c r="A38" s="48" t="s">
        <v>23</v>
      </c>
      <c r="B38" s="49">
        <f>SUM(B13+B19+B22+B27+B32+B36)</f>
        <v>585.78599999999994</v>
      </c>
      <c r="C38" s="49" t="s">
        <v>237</v>
      </c>
      <c r="D38" s="39"/>
    </row>
    <row r="39" spans="1:22" ht="15.75">
      <c r="A39" s="48"/>
      <c r="B39" s="48"/>
      <c r="C39" s="48"/>
      <c r="D39" s="39"/>
    </row>
    <row r="40" spans="1:22" ht="15.75">
      <c r="A40" s="106" t="s">
        <v>674</v>
      </c>
      <c r="B40" s="48"/>
      <c r="C40" s="48"/>
      <c r="D40" s="39"/>
    </row>
    <row r="41" spans="1:22">
      <c r="B41" s="39"/>
      <c r="C41" s="39"/>
    </row>
    <row r="42" spans="1:22">
      <c r="B42" s="41" t="s">
        <v>417</v>
      </c>
      <c r="C42" s="41"/>
    </row>
    <row r="43" spans="1:22">
      <c r="B43" s="41" t="s">
        <v>181</v>
      </c>
      <c r="C43" s="41"/>
    </row>
    <row r="44" spans="1:22">
      <c r="B44" s="41" t="s">
        <v>16</v>
      </c>
      <c r="C44" s="41"/>
    </row>
    <row r="45" spans="1:22">
      <c r="A45" s="2" t="s">
        <v>11</v>
      </c>
      <c r="B45" s="106"/>
      <c r="C45" s="106"/>
    </row>
    <row r="46" spans="1:22">
      <c r="B46" s="106"/>
      <c r="C46" s="106"/>
    </row>
    <row r="47" spans="1:22">
      <c r="A47" t="s">
        <v>0</v>
      </c>
      <c r="B47" s="46">
        <f>'CAN Disability details 09-10'!B6*0.031</f>
        <v>19.22</v>
      </c>
      <c r="C47" s="46"/>
      <c r="D47" s="22" t="s">
        <v>217</v>
      </c>
      <c r="E47" t="s">
        <v>354</v>
      </c>
      <c r="V47" s="38" t="s">
        <v>344</v>
      </c>
    </row>
    <row r="48" spans="1:22">
      <c r="A48" t="s">
        <v>1</v>
      </c>
      <c r="B48" s="46">
        <f>'CAN Disability details 09-10'!B7*0.031</f>
        <v>31</v>
      </c>
      <c r="C48" s="46"/>
      <c r="D48" s="22" t="s">
        <v>217</v>
      </c>
      <c r="E48" t="s">
        <v>218</v>
      </c>
    </row>
    <row r="49" spans="1:31">
      <c r="A49" t="s">
        <v>14</v>
      </c>
      <c r="B49" s="46">
        <f>'CAN Disability details 09-10'!B8*0.031</f>
        <v>3.0070000000000001</v>
      </c>
      <c r="C49" s="46"/>
      <c r="D49" s="22" t="s">
        <v>217</v>
      </c>
      <c r="E49" t="s">
        <v>456</v>
      </c>
    </row>
    <row r="50" spans="1:31">
      <c r="A50" t="s">
        <v>2</v>
      </c>
      <c r="B50" s="46">
        <f>'CAN Disability details 09-10'!B9*0.031</f>
        <v>0.155</v>
      </c>
      <c r="C50" s="46"/>
      <c r="D50" s="22" t="s">
        <v>217</v>
      </c>
    </row>
    <row r="51" spans="1:31">
      <c r="A51" t="s">
        <v>68</v>
      </c>
      <c r="B51" s="46">
        <f>'CAN Disability details 09-10'!B10*0.031</f>
        <v>0</v>
      </c>
      <c r="C51" s="46"/>
      <c r="D51" s="22" t="s">
        <v>217</v>
      </c>
      <c r="E51" s="7"/>
    </row>
    <row r="52" spans="1:31">
      <c r="A52" t="s">
        <v>3</v>
      </c>
      <c r="B52" s="46">
        <f>'CAN Disability details 09-10'!B11*0.031</f>
        <v>4.03</v>
      </c>
      <c r="C52" s="46"/>
      <c r="D52" s="22" t="s">
        <v>217</v>
      </c>
      <c r="E52" s="7"/>
    </row>
    <row r="53" spans="1:31">
      <c r="A53" t="s">
        <v>15</v>
      </c>
      <c r="B53" s="46">
        <f>'CAN Disability details 09-10'!B12*0.031</f>
        <v>6.0914999999999999</v>
      </c>
      <c r="C53" s="46"/>
      <c r="D53" s="22" t="s">
        <v>217</v>
      </c>
      <c r="E53" s="7"/>
    </row>
    <row r="54" spans="1:31">
      <c r="A54" s="3" t="s">
        <v>24</v>
      </c>
      <c r="B54" s="104">
        <f>SUM(B47:B53)</f>
        <v>63.503500000000003</v>
      </c>
      <c r="C54" s="104"/>
      <c r="E54" s="7"/>
    </row>
    <row r="55" spans="1:31">
      <c r="B55" s="46"/>
      <c r="C55" s="46"/>
    </row>
    <row r="56" spans="1:31">
      <c r="A56" s="2" t="s">
        <v>4</v>
      </c>
      <c r="B56" s="46"/>
      <c r="C56" s="46"/>
    </row>
    <row r="57" spans="1:31">
      <c r="A57" t="s">
        <v>5</v>
      </c>
      <c r="B57" s="46">
        <v>90</v>
      </c>
      <c r="C57" s="46"/>
      <c r="E57" t="s">
        <v>325</v>
      </c>
    </row>
    <row r="58" spans="1:31">
      <c r="A58" t="s">
        <v>69</v>
      </c>
      <c r="B58" s="105"/>
      <c r="C58" s="105"/>
    </row>
    <row r="59" spans="1:31">
      <c r="A59" t="s">
        <v>6</v>
      </c>
      <c r="B59" s="114">
        <v>23.1</v>
      </c>
      <c r="C59" s="114"/>
      <c r="D59" s="103"/>
      <c r="E59" s="103" t="s">
        <v>394</v>
      </c>
      <c r="F59" s="103"/>
      <c r="G59" s="103"/>
      <c r="H59" s="103"/>
      <c r="I59" s="103"/>
      <c r="J59" s="103"/>
      <c r="K59" s="103"/>
      <c r="L59" s="103"/>
      <c r="M59" s="103"/>
      <c r="N59" s="103"/>
      <c r="O59" s="103"/>
      <c r="P59" s="103"/>
      <c r="Q59" s="103"/>
      <c r="R59" s="103"/>
      <c r="S59" s="103"/>
      <c r="T59" s="103"/>
      <c r="U59" s="111"/>
      <c r="V59" s="110" t="s">
        <v>395</v>
      </c>
      <c r="W59" s="103"/>
      <c r="X59" s="103"/>
      <c r="Y59" s="103"/>
      <c r="Z59" s="103"/>
      <c r="AA59" s="103"/>
      <c r="AB59" s="103"/>
      <c r="AC59" s="103"/>
      <c r="AD59" s="103"/>
      <c r="AE59" s="103"/>
    </row>
    <row r="60" spans="1:31">
      <c r="A60" s="3" t="s">
        <v>24</v>
      </c>
      <c r="B60" s="112">
        <f>SUM(B57:B59)</f>
        <v>113.1</v>
      </c>
      <c r="C60" s="112"/>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row>
    <row r="61" spans="1:31">
      <c r="B61" s="46"/>
      <c r="C61" s="46"/>
    </row>
    <row r="62" spans="1:31">
      <c r="A62" t="s">
        <v>478</v>
      </c>
      <c r="B62" s="104">
        <f>'CAN Disability details 09-10'!B22*0.034</f>
        <v>69.026800000000009</v>
      </c>
      <c r="C62" s="104" t="s">
        <v>437</v>
      </c>
      <c r="E62" t="s">
        <v>457</v>
      </c>
    </row>
    <row r="63" spans="1:31">
      <c r="A63" s="3"/>
      <c r="B63" s="104"/>
      <c r="C63" s="104"/>
      <c r="E63" t="s">
        <v>469</v>
      </c>
    </row>
    <row r="64" spans="1:31">
      <c r="A64" s="50" t="s">
        <v>334</v>
      </c>
      <c r="B64" s="46"/>
      <c r="C64" s="46"/>
      <c r="D64" s="39"/>
      <c r="E64" s="39"/>
      <c r="F64" s="39"/>
      <c r="G64" s="39"/>
      <c r="H64" s="39"/>
      <c r="I64" s="39"/>
      <c r="J64" s="39"/>
      <c r="K64" s="39"/>
      <c r="L64" s="39"/>
      <c r="M64" s="39"/>
      <c r="N64" s="39"/>
      <c r="O64" s="39"/>
      <c r="P64" s="39"/>
      <c r="Q64" s="39"/>
    </row>
    <row r="65" spans="1:22">
      <c r="A65" s="39" t="s">
        <v>335</v>
      </c>
      <c r="B65" s="46">
        <f>+'SA $ by prov 09-10'!B23*0.55</f>
        <v>129.03</v>
      </c>
      <c r="C65" s="46" t="s">
        <v>237</v>
      </c>
      <c r="D65" s="39"/>
      <c r="E65" s="150" t="s">
        <v>666</v>
      </c>
      <c r="F65" s="39"/>
      <c r="G65" s="39"/>
      <c r="H65" s="39"/>
      <c r="I65" s="39"/>
      <c r="J65" s="39"/>
      <c r="K65" s="39"/>
      <c r="L65" s="39"/>
      <c r="M65" s="39"/>
      <c r="N65" s="39"/>
      <c r="O65" s="39"/>
      <c r="P65" s="39"/>
      <c r="Q65" s="39"/>
      <c r="V65" t="s">
        <v>193</v>
      </c>
    </row>
    <row r="66" spans="1:22">
      <c r="A66" s="39" t="s">
        <v>12</v>
      </c>
      <c r="B66" s="46">
        <f>134*0.55</f>
        <v>73.7</v>
      </c>
      <c r="C66" s="46" t="s">
        <v>237</v>
      </c>
      <c r="D66" s="39"/>
      <c r="E66" s="39" t="s">
        <v>656</v>
      </c>
      <c r="F66" s="39"/>
      <c r="G66" s="39"/>
      <c r="H66" s="39"/>
      <c r="I66" s="39"/>
      <c r="J66" s="39"/>
      <c r="K66" s="39"/>
      <c r="L66" s="39"/>
      <c r="M66" s="39"/>
      <c r="N66" s="39"/>
      <c r="O66" s="39"/>
      <c r="P66" s="39"/>
      <c r="Q66" s="39"/>
    </row>
    <row r="67" spans="1:22">
      <c r="A67" s="258" t="s">
        <v>24</v>
      </c>
      <c r="B67" s="104">
        <f>SUM(B65:B66)</f>
        <v>202.73000000000002</v>
      </c>
      <c r="C67" s="104" t="s">
        <v>237</v>
      </c>
      <c r="D67" s="39"/>
      <c r="E67" s="39"/>
      <c r="F67" s="39"/>
      <c r="G67" s="39"/>
      <c r="H67" s="39"/>
      <c r="I67" s="39"/>
      <c r="J67" s="39"/>
      <c r="K67" s="39"/>
      <c r="L67" s="39"/>
      <c r="M67" s="39"/>
      <c r="N67" s="39"/>
      <c r="O67" s="39"/>
      <c r="P67" s="39"/>
      <c r="Q67" s="39"/>
    </row>
    <row r="68" spans="1:22">
      <c r="A68" s="258"/>
      <c r="B68" s="104"/>
      <c r="C68" s="104"/>
      <c r="D68" s="39"/>
      <c r="E68" s="39"/>
      <c r="F68" s="39"/>
      <c r="G68" s="39"/>
      <c r="H68" s="39"/>
      <c r="I68" s="39"/>
      <c r="J68" s="39"/>
      <c r="K68" s="39"/>
      <c r="L68" s="39"/>
      <c r="M68" s="39"/>
      <c r="N68" s="39"/>
      <c r="O68" s="39"/>
      <c r="P68" s="39"/>
      <c r="Q68" s="39"/>
    </row>
    <row r="69" spans="1:22">
      <c r="A69" s="50" t="s">
        <v>13</v>
      </c>
      <c r="B69" s="46"/>
      <c r="C69" s="46"/>
      <c r="D69" s="39"/>
      <c r="E69" s="39"/>
      <c r="F69" s="39"/>
      <c r="G69" s="39"/>
      <c r="H69" s="39"/>
      <c r="I69" s="39"/>
      <c r="J69" s="39"/>
      <c r="K69" s="39"/>
      <c r="L69" s="39"/>
      <c r="M69" s="39"/>
      <c r="N69" s="39"/>
      <c r="O69" s="39"/>
      <c r="P69" s="39"/>
      <c r="Q69" s="39"/>
    </row>
    <row r="70" spans="1:22">
      <c r="A70" s="39" t="s">
        <v>7</v>
      </c>
      <c r="B70" s="46">
        <v>121.4</v>
      </c>
      <c r="C70" s="46"/>
      <c r="D70" s="39"/>
      <c r="E70" s="39" t="s">
        <v>215</v>
      </c>
      <c r="F70" s="39"/>
      <c r="G70" s="39"/>
      <c r="H70" s="39"/>
      <c r="I70" s="39"/>
      <c r="J70" s="39"/>
      <c r="K70" s="39"/>
      <c r="L70" s="39"/>
      <c r="M70" s="39"/>
      <c r="N70" s="39"/>
      <c r="O70" s="39"/>
      <c r="P70" s="39"/>
      <c r="Q70" s="39"/>
    </row>
    <row r="71" spans="1:22">
      <c r="A71" s="39" t="s">
        <v>8</v>
      </c>
      <c r="B71" s="46"/>
      <c r="C71" s="46"/>
      <c r="D71" s="39"/>
      <c r="E71" s="39" t="s">
        <v>167</v>
      </c>
      <c r="F71" s="39"/>
      <c r="G71" s="39"/>
      <c r="H71" s="39"/>
      <c r="I71" s="39"/>
      <c r="J71" s="39"/>
      <c r="K71" s="39"/>
      <c r="L71" s="39"/>
      <c r="M71" s="39"/>
      <c r="N71" s="39"/>
      <c r="O71" s="39"/>
      <c r="P71" s="39"/>
      <c r="Q71" s="39"/>
    </row>
    <row r="72" spans="1:22">
      <c r="A72" s="258" t="s">
        <v>57</v>
      </c>
      <c r="B72" s="104">
        <f>SUM(B70:B71)</f>
        <v>121.4</v>
      </c>
      <c r="C72" s="104"/>
      <c r="D72" s="39"/>
      <c r="E72" s="39"/>
      <c r="F72" s="39"/>
      <c r="G72" s="39"/>
      <c r="H72" s="39"/>
      <c r="I72" s="39"/>
      <c r="J72" s="39"/>
      <c r="K72" s="39"/>
      <c r="L72" s="39"/>
      <c r="M72" s="39"/>
      <c r="N72" s="39"/>
      <c r="O72" s="39"/>
      <c r="P72" s="39"/>
      <c r="Q72" s="39"/>
    </row>
    <row r="73" spans="1:22">
      <c r="A73" s="258"/>
      <c r="B73" s="104"/>
      <c r="C73" s="104"/>
      <c r="D73" s="39"/>
      <c r="E73" s="39"/>
      <c r="F73" s="39"/>
      <c r="G73" s="39"/>
      <c r="H73" s="39"/>
      <c r="I73" s="39"/>
      <c r="J73" s="39"/>
      <c r="K73" s="39"/>
      <c r="L73" s="39"/>
      <c r="M73" s="39"/>
      <c r="N73" s="39"/>
      <c r="O73" s="39"/>
      <c r="P73" s="39"/>
      <c r="Q73" s="39"/>
    </row>
    <row r="74" spans="1:22">
      <c r="A74" s="39" t="s">
        <v>64</v>
      </c>
      <c r="B74" s="46"/>
      <c r="C74" s="46"/>
      <c r="D74" s="39"/>
      <c r="E74" s="39"/>
      <c r="F74" s="39"/>
      <c r="G74" s="39"/>
      <c r="H74" s="39"/>
      <c r="I74" s="39"/>
      <c r="J74" s="39"/>
      <c r="K74" s="39"/>
      <c r="L74" s="39"/>
      <c r="M74" s="39"/>
      <c r="N74" s="39"/>
      <c r="O74" s="39"/>
      <c r="P74" s="39"/>
      <c r="Q74" s="39"/>
    </row>
    <row r="75" spans="1:22">
      <c r="A75" s="39" t="s">
        <v>9</v>
      </c>
      <c r="B75" s="46">
        <v>22</v>
      </c>
      <c r="C75" s="46"/>
      <c r="D75" s="39"/>
      <c r="E75" s="39" t="s">
        <v>207</v>
      </c>
      <c r="F75" s="39"/>
      <c r="G75" s="39"/>
      <c r="H75" s="39"/>
      <c r="I75" s="39"/>
      <c r="J75" s="39"/>
      <c r="K75" s="39"/>
      <c r="L75" s="39"/>
      <c r="M75" s="39"/>
      <c r="N75" s="39"/>
      <c r="O75" s="39"/>
      <c r="P75" s="39"/>
      <c r="Q75" s="39"/>
    </row>
    <row r="76" spans="1:22">
      <c r="A76" s="39" t="s">
        <v>10</v>
      </c>
      <c r="B76" s="46">
        <v>83</v>
      </c>
      <c r="C76" s="46"/>
      <c r="D76" s="39"/>
      <c r="E76" s="39" t="s">
        <v>207</v>
      </c>
      <c r="F76" s="39"/>
      <c r="G76" s="39"/>
      <c r="H76" s="39"/>
      <c r="I76" s="39"/>
      <c r="J76" s="39"/>
      <c r="K76" s="39"/>
      <c r="L76" s="39"/>
      <c r="M76" s="39"/>
      <c r="N76" s="39"/>
      <c r="O76" s="39"/>
      <c r="P76" s="39"/>
      <c r="Q76" s="39"/>
    </row>
    <row r="77" spans="1:22">
      <c r="A77" s="258" t="s">
        <v>24</v>
      </c>
      <c r="B77" s="104">
        <f>SUM(B75:B76)</f>
        <v>105</v>
      </c>
      <c r="C77" s="104"/>
      <c r="D77" s="39"/>
      <c r="E77" s="39" t="s">
        <v>429</v>
      </c>
      <c r="F77" s="39"/>
      <c r="G77" s="39"/>
      <c r="H77" s="39"/>
      <c r="I77" s="39"/>
      <c r="J77" s="39"/>
      <c r="K77" s="39"/>
      <c r="L77" s="39"/>
      <c r="M77" s="39"/>
      <c r="N77" s="39"/>
      <c r="O77" s="39"/>
      <c r="P77" s="39"/>
      <c r="Q77" s="39"/>
    </row>
    <row r="78" spans="1:22">
      <c r="A78" s="39"/>
      <c r="B78" s="46"/>
      <c r="C78" s="46"/>
      <c r="D78" s="39"/>
      <c r="E78" s="39"/>
      <c r="F78" s="39"/>
      <c r="G78" s="39"/>
      <c r="H78" s="39"/>
      <c r="I78" s="39"/>
      <c r="J78" s="39"/>
      <c r="K78" s="39"/>
      <c r="L78" s="39"/>
      <c r="M78" s="39"/>
      <c r="N78" s="39"/>
      <c r="O78" s="39"/>
      <c r="P78" s="39"/>
      <c r="Q78" s="39"/>
    </row>
    <row r="79" spans="1:22" ht="15.75">
      <c r="A79" s="48" t="s">
        <v>23</v>
      </c>
      <c r="B79" s="49">
        <f>SUM(B54+B60+B62+B66+B65+B72+B77)</f>
        <v>674.76030000000003</v>
      </c>
      <c r="C79" s="49" t="s">
        <v>237</v>
      </c>
      <c r="D79" s="39"/>
      <c r="E79" s="39"/>
      <c r="F79" s="39"/>
      <c r="G79" s="39"/>
      <c r="H79" s="39"/>
      <c r="I79" s="39"/>
      <c r="J79" s="39"/>
      <c r="K79" s="39"/>
      <c r="L79" s="39"/>
      <c r="M79" s="39"/>
      <c r="N79" s="39"/>
      <c r="O79" s="39"/>
      <c r="P79" s="39"/>
      <c r="Q79" s="39"/>
    </row>
    <row r="80" spans="1:22">
      <c r="A80" s="39"/>
      <c r="B80" s="39"/>
      <c r="C80" s="39"/>
      <c r="D80" s="39"/>
    </row>
    <row r="81" spans="1:21">
      <c r="A81" s="106" t="s">
        <v>674</v>
      </c>
      <c r="B81" s="39"/>
      <c r="C81" s="39"/>
      <c r="D81" s="39"/>
    </row>
    <row r="83" spans="1:21">
      <c r="B83" s="41" t="s">
        <v>417</v>
      </c>
      <c r="C83" s="41"/>
    </row>
    <row r="84" spans="1:21">
      <c r="B84" s="41" t="s">
        <v>514</v>
      </c>
      <c r="C84" s="41"/>
    </row>
    <row r="85" spans="1:21">
      <c r="B85" s="41" t="s">
        <v>16</v>
      </c>
      <c r="C85" s="41"/>
    </row>
    <row r="86" spans="1:21">
      <c r="A86" s="2" t="s">
        <v>11</v>
      </c>
      <c r="B86" s="106"/>
      <c r="C86" s="106"/>
    </row>
    <row r="87" spans="1:21">
      <c r="B87" s="106"/>
      <c r="C87" s="106"/>
    </row>
    <row r="88" spans="1:21">
      <c r="A88" t="s">
        <v>0</v>
      </c>
      <c r="B88" s="143">
        <f>'CAN Disability details 10-11'!B6*0.031</f>
        <v>20.149999999999999</v>
      </c>
      <c r="C88" s="46"/>
      <c r="D88" s="22" t="s">
        <v>217</v>
      </c>
      <c r="E88" t="s">
        <v>811</v>
      </c>
      <c r="U88" s="38" t="s">
        <v>810</v>
      </c>
    </row>
    <row r="89" spans="1:21">
      <c r="A89" t="s">
        <v>1</v>
      </c>
      <c r="B89" s="143">
        <f>'CAN Disability details 10-11'!B7*0.031</f>
        <v>33.479999999999997</v>
      </c>
      <c r="C89" s="46"/>
      <c r="D89" s="22" t="s">
        <v>217</v>
      </c>
      <c r="E89" t="s">
        <v>218</v>
      </c>
    </row>
    <row r="90" spans="1:21">
      <c r="A90" t="s">
        <v>14</v>
      </c>
      <c r="B90" s="46">
        <f>'CAN Disability details 10-11'!B8*0.031</f>
        <v>3.1</v>
      </c>
      <c r="C90" s="46"/>
      <c r="D90" s="22" t="s">
        <v>217</v>
      </c>
      <c r="E90" t="s">
        <v>456</v>
      </c>
    </row>
    <row r="91" spans="1:21">
      <c r="A91" t="s">
        <v>2</v>
      </c>
      <c r="B91" s="46">
        <f>'CAN Disability details 10-11'!B9*0.031</f>
        <v>0.155</v>
      </c>
      <c r="C91" s="46"/>
      <c r="D91" s="22" t="s">
        <v>217</v>
      </c>
    </row>
    <row r="92" spans="1:21">
      <c r="A92" t="s">
        <v>68</v>
      </c>
      <c r="B92" s="46">
        <f>'CAN Disability details 10-11'!B10*0.031</f>
        <v>0</v>
      </c>
      <c r="C92" s="46"/>
      <c r="D92" s="22" t="s">
        <v>217</v>
      </c>
      <c r="E92" s="7"/>
    </row>
    <row r="93" spans="1:21">
      <c r="A93" t="s">
        <v>3</v>
      </c>
      <c r="B93" s="46">
        <f>'CAN Disability details 10-11'!B11*0.031</f>
        <v>4.1849999999999996</v>
      </c>
      <c r="C93" s="46"/>
      <c r="D93" s="22" t="s">
        <v>217</v>
      </c>
      <c r="E93" s="7"/>
    </row>
    <row r="94" spans="1:21">
      <c r="A94" t="s">
        <v>15</v>
      </c>
      <c r="B94" s="46">
        <f>'CAN Disability details 10-11'!B12*0.031</f>
        <v>6.8323999999999998</v>
      </c>
      <c r="C94" s="46"/>
      <c r="D94" s="22" t="s">
        <v>217</v>
      </c>
      <c r="E94" s="7" t="s">
        <v>581</v>
      </c>
      <c r="U94" s="38" t="s">
        <v>579</v>
      </c>
    </row>
    <row r="95" spans="1:21">
      <c r="A95" s="3" t="s">
        <v>24</v>
      </c>
      <c r="B95" s="138">
        <f>SUM(B88:B94)</f>
        <v>67.9024</v>
      </c>
      <c r="C95" s="104"/>
      <c r="E95" s="7"/>
    </row>
    <row r="96" spans="1:21">
      <c r="B96" s="46"/>
      <c r="C96" s="46"/>
    </row>
    <row r="97" spans="1:22">
      <c r="A97" s="2" t="s">
        <v>4</v>
      </c>
      <c r="B97" s="46"/>
      <c r="C97" s="46"/>
    </row>
    <row r="98" spans="1:22">
      <c r="A98" t="s">
        <v>5</v>
      </c>
      <c r="B98" s="46">
        <f>93</f>
        <v>93</v>
      </c>
      <c r="C98" s="46"/>
      <c r="E98" t="s">
        <v>545</v>
      </c>
    </row>
    <row r="99" spans="1:22">
      <c r="A99" t="s">
        <v>69</v>
      </c>
      <c r="B99" s="105"/>
      <c r="C99" s="105"/>
    </row>
    <row r="100" spans="1:22">
      <c r="A100" t="s">
        <v>6</v>
      </c>
      <c r="B100" s="114">
        <v>22.5</v>
      </c>
      <c r="C100" s="114"/>
      <c r="D100" s="103"/>
      <c r="E100" s="103" t="s">
        <v>543</v>
      </c>
      <c r="F100" s="103"/>
      <c r="G100" s="103"/>
      <c r="H100" s="103"/>
      <c r="I100" s="103"/>
      <c r="J100" s="103"/>
      <c r="K100" s="103"/>
      <c r="L100" s="103"/>
      <c r="M100" s="103"/>
      <c r="N100" s="103"/>
      <c r="O100" s="103"/>
      <c r="P100" s="103"/>
      <c r="Q100" s="103"/>
      <c r="R100" s="103"/>
      <c r="S100" s="103"/>
      <c r="T100" s="111"/>
      <c r="U100" s="110" t="s">
        <v>395</v>
      </c>
    </row>
    <row r="101" spans="1:22">
      <c r="A101" s="3" t="s">
        <v>24</v>
      </c>
      <c r="B101" s="112">
        <f>SUM(B98:B100)</f>
        <v>115.5</v>
      </c>
      <c r="C101" s="112"/>
      <c r="D101" s="103"/>
      <c r="E101" s="103"/>
      <c r="F101" s="103"/>
      <c r="G101" s="103"/>
      <c r="H101" s="103"/>
      <c r="I101" s="103"/>
      <c r="J101" s="103"/>
      <c r="K101" s="103"/>
      <c r="L101" s="103"/>
      <c r="M101" s="103"/>
      <c r="N101" s="103"/>
      <c r="O101" s="103"/>
      <c r="P101" s="103"/>
      <c r="Q101" s="103"/>
      <c r="R101" s="103"/>
      <c r="S101" s="103"/>
      <c r="T101" s="103"/>
      <c r="U101" s="103"/>
      <c r="V101" s="103"/>
    </row>
    <row r="102" spans="1:22">
      <c r="B102" s="46"/>
      <c r="C102" s="46"/>
    </row>
    <row r="103" spans="1:22">
      <c r="A103" t="s">
        <v>478</v>
      </c>
      <c r="B103" s="104">
        <f>55.3+5.2</f>
        <v>60.5</v>
      </c>
      <c r="C103" s="104" t="s">
        <v>237</v>
      </c>
      <c r="E103" t="s">
        <v>98</v>
      </c>
      <c r="U103" t="s">
        <v>754</v>
      </c>
    </row>
    <row r="104" spans="1:22">
      <c r="A104" s="3"/>
      <c r="B104" s="104"/>
      <c r="C104" s="104"/>
    </row>
    <row r="105" spans="1:22">
      <c r="A105" s="2" t="s">
        <v>334</v>
      </c>
      <c r="B105" s="46"/>
      <c r="C105" s="46"/>
    </row>
    <row r="106" spans="1:22">
      <c r="A106" s="39" t="s">
        <v>335</v>
      </c>
      <c r="B106" s="46">
        <f>'SA $ by prov 10-11'!B22*0.55</f>
        <v>118.52500000000001</v>
      </c>
      <c r="C106" s="46" t="s">
        <v>237</v>
      </c>
      <c r="D106" s="39"/>
      <c r="E106" s="150" t="s">
        <v>665</v>
      </c>
      <c r="F106" s="39"/>
      <c r="G106" s="39"/>
      <c r="H106" s="39"/>
      <c r="I106" s="39"/>
      <c r="J106" s="39"/>
      <c r="K106" s="39"/>
      <c r="L106" s="39"/>
      <c r="M106" s="39"/>
      <c r="N106" s="39"/>
      <c r="O106" s="39"/>
      <c r="P106" s="39"/>
      <c r="Q106" s="39"/>
      <c r="U106" t="s">
        <v>555</v>
      </c>
    </row>
    <row r="107" spans="1:22">
      <c r="A107" s="39" t="s">
        <v>12</v>
      </c>
      <c r="B107" s="143">
        <f>134.2*0.55</f>
        <v>73.81</v>
      </c>
      <c r="C107" s="143" t="s">
        <v>237</v>
      </c>
      <c r="D107" s="39"/>
      <c r="E107" s="278" t="s">
        <v>798</v>
      </c>
      <c r="U107" s="52" t="s">
        <v>789</v>
      </c>
    </row>
    <row r="108" spans="1:22">
      <c r="A108" s="258" t="s">
        <v>24</v>
      </c>
      <c r="B108" s="138">
        <f>SUM(B106:B107)</f>
        <v>192.33500000000001</v>
      </c>
      <c r="C108" s="138" t="s">
        <v>237</v>
      </c>
      <c r="D108" s="39"/>
      <c r="E108" s="39"/>
      <c r="F108" s="39"/>
      <c r="G108" s="39"/>
      <c r="H108" s="39"/>
      <c r="I108" s="39"/>
      <c r="J108" s="39"/>
      <c r="K108" s="39"/>
      <c r="L108" s="39"/>
      <c r="M108" s="39"/>
      <c r="N108" s="39"/>
      <c r="O108" s="39"/>
      <c r="P108" s="39"/>
      <c r="Q108" s="39"/>
    </row>
    <row r="109" spans="1:22">
      <c r="A109" s="258"/>
      <c r="B109" s="104"/>
      <c r="C109" s="104"/>
      <c r="D109" s="39"/>
      <c r="E109" s="39"/>
      <c r="F109" s="39"/>
      <c r="G109" s="39"/>
      <c r="H109" s="39"/>
      <c r="I109" s="39"/>
      <c r="J109" s="39"/>
      <c r="K109" s="39"/>
      <c r="L109" s="39"/>
      <c r="M109" s="39"/>
      <c r="N109" s="39"/>
      <c r="O109" s="39"/>
      <c r="P109" s="39"/>
      <c r="Q109" s="39"/>
    </row>
    <row r="110" spans="1:22">
      <c r="A110" s="50" t="s">
        <v>13</v>
      </c>
      <c r="B110" s="46"/>
      <c r="C110" s="46"/>
      <c r="D110" s="39"/>
      <c r="E110" s="39"/>
      <c r="F110" s="39"/>
      <c r="G110" s="39"/>
      <c r="H110" s="39"/>
      <c r="I110" s="39"/>
      <c r="J110" s="39"/>
      <c r="K110" s="39"/>
      <c r="L110" s="39"/>
      <c r="M110" s="39"/>
      <c r="N110" s="39"/>
      <c r="O110" s="39"/>
      <c r="P110" s="39"/>
      <c r="Q110" s="39"/>
    </row>
    <row r="111" spans="1:22">
      <c r="A111" t="s">
        <v>7</v>
      </c>
      <c r="B111" s="46">
        <v>121.1</v>
      </c>
      <c r="C111" s="46"/>
      <c r="E111" t="s">
        <v>547</v>
      </c>
      <c r="U111" t="s">
        <v>205</v>
      </c>
    </row>
    <row r="112" spans="1:22">
      <c r="A112" t="s">
        <v>8</v>
      </c>
      <c r="B112" s="46"/>
      <c r="C112" s="46"/>
      <c r="E112" t="s">
        <v>167</v>
      </c>
    </row>
    <row r="113" spans="1:21">
      <c r="A113" s="3" t="s">
        <v>57</v>
      </c>
      <c r="B113" s="104">
        <f>SUM(B111:B112)</f>
        <v>121.1</v>
      </c>
      <c r="C113" s="104"/>
    </row>
    <row r="114" spans="1:21">
      <c r="A114" s="3"/>
      <c r="B114" s="104"/>
      <c r="C114" s="104"/>
    </row>
    <row r="115" spans="1:21">
      <c r="A115" t="s">
        <v>64</v>
      </c>
      <c r="B115" s="46"/>
      <c r="C115" s="46"/>
    </row>
    <row r="116" spans="1:21">
      <c r="A116" t="s">
        <v>9</v>
      </c>
      <c r="B116" s="46">
        <v>22</v>
      </c>
      <c r="C116" s="46"/>
      <c r="E116" t="s">
        <v>548</v>
      </c>
      <c r="U116" t="s">
        <v>75</v>
      </c>
    </row>
    <row r="117" spans="1:21">
      <c r="A117" t="s">
        <v>10</v>
      </c>
      <c r="B117" s="46">
        <v>87</v>
      </c>
      <c r="C117" s="46"/>
      <c r="E117" t="s">
        <v>548</v>
      </c>
    </row>
    <row r="118" spans="1:21">
      <c r="A118" s="3" t="s">
        <v>24</v>
      </c>
      <c r="B118" s="104">
        <f>SUM(B116:B117)</f>
        <v>109</v>
      </c>
      <c r="C118" s="104"/>
      <c r="E118" t="s">
        <v>429</v>
      </c>
    </row>
    <row r="119" spans="1:21">
      <c r="B119" s="46"/>
      <c r="C119" s="46"/>
    </row>
    <row r="120" spans="1:21" ht="15.75">
      <c r="A120" s="48" t="s">
        <v>23</v>
      </c>
      <c r="B120" s="139">
        <f>SUM(B95+B101+B103+B107+B106+B113+B118)</f>
        <v>666.3374</v>
      </c>
      <c r="C120" s="139" t="s">
        <v>237</v>
      </c>
      <c r="D120" s="39"/>
      <c r="E120" s="39"/>
    </row>
    <row r="121" spans="1:21" ht="15.75">
      <c r="A121" s="48"/>
      <c r="B121" s="49"/>
      <c r="C121" s="49"/>
      <c r="D121" s="39"/>
      <c r="E121" s="39"/>
    </row>
    <row r="122" spans="1:21" ht="15.75">
      <c r="A122" s="106" t="s">
        <v>674</v>
      </c>
      <c r="B122" s="49"/>
      <c r="C122" s="49"/>
      <c r="D122" s="39"/>
      <c r="E122" s="39"/>
    </row>
    <row r="123" spans="1:21">
      <c r="A123" s="39"/>
      <c r="B123" s="39"/>
      <c r="C123" s="39"/>
      <c r="D123" s="39"/>
      <c r="E123" s="39"/>
    </row>
    <row r="125" spans="1:21">
      <c r="B125" s="41" t="s">
        <v>417</v>
      </c>
      <c r="C125" s="41"/>
    </row>
    <row r="126" spans="1:21">
      <c r="B126" s="41" t="s">
        <v>689</v>
      </c>
      <c r="C126" s="41"/>
    </row>
    <row r="127" spans="1:21">
      <c r="B127" s="41" t="s">
        <v>16</v>
      </c>
      <c r="C127" s="41"/>
    </row>
    <row r="128" spans="1:21">
      <c r="A128" s="2" t="s">
        <v>11</v>
      </c>
      <c r="B128" s="106"/>
      <c r="C128" s="106"/>
    </row>
    <row r="129" spans="1:21">
      <c r="B129" s="106"/>
      <c r="C129" s="106"/>
    </row>
    <row r="130" spans="1:21">
      <c r="A130" t="s">
        <v>0</v>
      </c>
      <c r="B130" s="143">
        <f>'CAN Disability details 11-12'!B6*0.031</f>
        <v>20.925000000000001</v>
      </c>
      <c r="C130" s="46"/>
      <c r="D130" s="257" t="s">
        <v>217</v>
      </c>
      <c r="E130" t="s">
        <v>811</v>
      </c>
      <c r="R130" s="145"/>
      <c r="S130" s="145"/>
      <c r="T130" s="145"/>
      <c r="U130" s="145" t="s">
        <v>810</v>
      </c>
    </row>
    <row r="131" spans="1:21">
      <c r="A131" t="s">
        <v>1</v>
      </c>
      <c r="B131" s="143">
        <f>'CAN Disability details 11-12'!B7*0.031</f>
        <v>35.185000000000002</v>
      </c>
      <c r="C131" s="46"/>
      <c r="D131" s="257" t="s">
        <v>217</v>
      </c>
      <c r="E131" t="s">
        <v>218</v>
      </c>
      <c r="I131" t="s">
        <v>93</v>
      </c>
      <c r="R131" s="39"/>
      <c r="S131" s="39"/>
      <c r="T131" s="39"/>
      <c r="U131" s="39" t="s">
        <v>752</v>
      </c>
    </row>
    <row r="132" spans="1:21">
      <c r="A132" t="s">
        <v>14</v>
      </c>
      <c r="B132" s="46">
        <f>'CAN Disability details 11-12'!B8*0.031</f>
        <v>3.2549999999999999</v>
      </c>
      <c r="C132" s="46"/>
      <c r="D132" s="257" t="s">
        <v>217</v>
      </c>
      <c r="E132" s="52" t="s">
        <v>769</v>
      </c>
      <c r="R132" s="39"/>
      <c r="S132" s="39"/>
      <c r="T132" s="39"/>
      <c r="U132" s="39"/>
    </row>
    <row r="133" spans="1:21">
      <c r="A133" t="s">
        <v>2</v>
      </c>
      <c r="B133" s="46">
        <f>'CAN Disability details 11-12'!B9*0.031</f>
        <v>0.155</v>
      </c>
      <c r="C133" s="46"/>
      <c r="D133" s="257" t="s">
        <v>217</v>
      </c>
      <c r="R133" s="39"/>
      <c r="S133" s="39"/>
      <c r="T133" s="39"/>
      <c r="U133" s="39"/>
    </row>
    <row r="134" spans="1:21">
      <c r="A134" t="s">
        <v>68</v>
      </c>
      <c r="B134" s="46">
        <f>'CAN Disability details 11-12'!B10*0.031</f>
        <v>0</v>
      </c>
      <c r="C134" s="46"/>
      <c r="D134" s="257" t="s">
        <v>217</v>
      </c>
      <c r="R134" s="39"/>
      <c r="S134" s="39"/>
      <c r="T134" s="39"/>
      <c r="U134" s="39"/>
    </row>
    <row r="135" spans="1:21">
      <c r="A135" t="s">
        <v>3</v>
      </c>
      <c r="B135" s="143">
        <f>'CAN Disability details 11-12'!B11*0.031</f>
        <v>4.1849999999999996</v>
      </c>
      <c r="C135" s="46"/>
      <c r="D135" s="257" t="s">
        <v>217</v>
      </c>
      <c r="R135" s="39"/>
      <c r="S135" s="39"/>
      <c r="T135" s="39"/>
      <c r="U135" s="39"/>
    </row>
    <row r="136" spans="1:21">
      <c r="A136" t="s">
        <v>15</v>
      </c>
      <c r="B136" s="143">
        <f>'CAN Disability details 11-12'!B12*0.031</f>
        <v>7.8572599999999992</v>
      </c>
      <c r="C136" s="46"/>
      <c r="D136" s="257" t="s">
        <v>217</v>
      </c>
      <c r="E136" s="248" t="s">
        <v>812</v>
      </c>
      <c r="F136" s="249"/>
      <c r="G136" s="249"/>
      <c r="H136" s="249"/>
      <c r="I136" s="30"/>
      <c r="J136" s="30"/>
      <c r="K136" s="30"/>
      <c r="L136" s="30"/>
      <c r="M136" s="30"/>
      <c r="N136" s="30"/>
      <c r="O136" s="30"/>
      <c r="P136" s="30"/>
      <c r="Q136" s="171"/>
      <c r="R136" s="145"/>
      <c r="S136" s="145"/>
      <c r="T136" s="145"/>
      <c r="U136" s="145"/>
    </row>
    <row r="137" spans="1:21">
      <c r="A137" s="3" t="s">
        <v>24</v>
      </c>
      <c r="B137" s="138">
        <f>SUM(B130:B136)</f>
        <v>71.562260000000009</v>
      </c>
      <c r="C137" s="104"/>
      <c r="E137" s="6"/>
      <c r="Q137" s="111"/>
      <c r="R137" s="39"/>
      <c r="S137" s="39"/>
      <c r="T137" s="39"/>
      <c r="U137" s="39"/>
    </row>
    <row r="138" spans="1:21">
      <c r="B138" s="46"/>
      <c r="C138" s="46"/>
      <c r="Q138" s="29"/>
      <c r="R138" s="39"/>
      <c r="S138" s="39"/>
      <c r="T138" s="39"/>
      <c r="U138" s="39"/>
    </row>
    <row r="139" spans="1:21">
      <c r="A139" s="2" t="s">
        <v>4</v>
      </c>
      <c r="B139" s="46"/>
      <c r="C139" s="46"/>
      <c r="Q139" s="29"/>
      <c r="R139" s="39"/>
      <c r="S139" s="39"/>
      <c r="T139" s="39"/>
      <c r="U139" s="39"/>
    </row>
    <row r="140" spans="1:21">
      <c r="A140" t="s">
        <v>5</v>
      </c>
      <c r="B140" s="46">
        <v>99.3</v>
      </c>
      <c r="C140" s="46"/>
      <c r="E140" s="52" t="s">
        <v>747</v>
      </c>
      <c r="F140" s="30"/>
      <c r="G140" s="30"/>
      <c r="H140" s="30"/>
      <c r="I140" s="30"/>
      <c r="J140" s="30"/>
      <c r="K140" s="30"/>
      <c r="L140" s="30"/>
      <c r="M140" s="30"/>
      <c r="N140" s="30"/>
      <c r="O140" s="30"/>
      <c r="P140" s="30"/>
      <c r="Q140" s="172"/>
      <c r="R140" s="39"/>
      <c r="S140" s="39"/>
      <c r="T140" s="39"/>
      <c r="U140" s="39" t="s">
        <v>693</v>
      </c>
    </row>
    <row r="141" spans="1:21">
      <c r="A141" t="s">
        <v>69</v>
      </c>
      <c r="B141" s="105"/>
      <c r="C141" s="105"/>
      <c r="E141" s="321" t="s">
        <v>748</v>
      </c>
      <c r="F141" s="321"/>
      <c r="G141" s="321"/>
      <c r="H141" s="321"/>
      <c r="I141" s="321"/>
      <c r="J141" s="321"/>
      <c r="K141" s="321"/>
      <c r="L141" s="321"/>
      <c r="M141" s="321"/>
      <c r="N141" s="321"/>
      <c r="O141" s="321"/>
      <c r="P141" s="321"/>
      <c r="Q141" s="172"/>
      <c r="R141" s="39"/>
      <c r="S141" s="39"/>
      <c r="T141" s="39"/>
      <c r="U141" s="39" t="s">
        <v>693</v>
      </c>
    </row>
    <row r="142" spans="1:21">
      <c r="A142" t="s">
        <v>6</v>
      </c>
      <c r="B142" s="114">
        <v>24.1</v>
      </c>
      <c r="C142" s="114"/>
      <c r="D142" s="103"/>
      <c r="E142" s="120" t="s">
        <v>694</v>
      </c>
      <c r="F142" s="103"/>
      <c r="G142" s="103"/>
      <c r="H142" s="103"/>
      <c r="I142" s="103"/>
      <c r="J142" s="103"/>
      <c r="K142" s="103"/>
      <c r="L142" s="103"/>
      <c r="M142" s="103"/>
      <c r="N142" s="103"/>
      <c r="O142" s="103"/>
      <c r="P142" s="103"/>
      <c r="Q142" s="111"/>
      <c r="R142" s="145"/>
      <c r="S142" s="145"/>
      <c r="T142" s="145"/>
      <c r="U142" s="145" t="s">
        <v>519</v>
      </c>
    </row>
    <row r="143" spans="1:21">
      <c r="A143" s="3" t="s">
        <v>24</v>
      </c>
      <c r="B143" s="112">
        <f>SUM(B140:B142)</f>
        <v>123.4</v>
      </c>
      <c r="C143" s="112"/>
      <c r="D143" s="103"/>
      <c r="E143" s="103"/>
      <c r="F143" s="103"/>
      <c r="G143" s="103"/>
      <c r="H143" s="103"/>
    </row>
    <row r="144" spans="1:21">
      <c r="A144" s="3"/>
      <c r="B144" s="112"/>
      <c r="C144" s="112"/>
      <c r="D144" s="103"/>
      <c r="E144" s="103"/>
      <c r="F144" s="103"/>
      <c r="G144" s="103"/>
      <c r="H144" s="103"/>
    </row>
    <row r="145" spans="1:21">
      <c r="A145" s="52" t="s">
        <v>101</v>
      </c>
      <c r="B145" s="114">
        <v>49.9</v>
      </c>
      <c r="C145" s="112"/>
      <c r="D145" s="103"/>
      <c r="E145" s="103"/>
      <c r="F145" s="103"/>
      <c r="G145" s="103"/>
      <c r="H145" s="103"/>
    </row>
    <row r="146" spans="1:21">
      <c r="A146" s="52" t="s">
        <v>709</v>
      </c>
      <c r="B146" s="46">
        <v>5.2</v>
      </c>
      <c r="C146" s="46"/>
      <c r="E146" s="103"/>
      <c r="F146" s="103"/>
      <c r="G146" s="103"/>
      <c r="H146" s="103"/>
      <c r="I146" s="103"/>
      <c r="J146" s="103"/>
      <c r="K146" s="103"/>
      <c r="L146" s="103"/>
      <c r="M146" s="103"/>
      <c r="N146" s="103"/>
      <c r="O146" s="103"/>
      <c r="P146" s="103"/>
      <c r="Q146" s="103"/>
    </row>
    <row r="147" spans="1:21">
      <c r="A147" s="2" t="s">
        <v>478</v>
      </c>
      <c r="B147" s="104">
        <f>SUM(B145:B146)</f>
        <v>55.1</v>
      </c>
      <c r="C147" s="104"/>
      <c r="E147" t="s">
        <v>98</v>
      </c>
      <c r="U147" t="s">
        <v>754</v>
      </c>
    </row>
    <row r="148" spans="1:21">
      <c r="A148" s="3"/>
      <c r="B148" s="104"/>
      <c r="C148" s="104"/>
    </row>
    <row r="149" spans="1:21">
      <c r="A149" s="2" t="s">
        <v>334</v>
      </c>
      <c r="B149" s="46"/>
      <c r="C149" s="46"/>
    </row>
    <row r="150" spans="1:21">
      <c r="A150" s="103" t="s">
        <v>335</v>
      </c>
      <c r="B150" s="46">
        <f>'SA $ by prov 11-12'!B22*0.55</f>
        <v>120.39500000000001</v>
      </c>
      <c r="C150" s="46" t="s">
        <v>437</v>
      </c>
      <c r="E150" s="150" t="s">
        <v>665</v>
      </c>
    </row>
    <row r="151" spans="1:21">
      <c r="A151" s="103" t="s">
        <v>12</v>
      </c>
      <c r="B151" s="46">
        <f>132.4*0.55</f>
        <v>72.820000000000007</v>
      </c>
      <c r="C151" s="46" t="s">
        <v>437</v>
      </c>
      <c r="E151" s="278" t="s">
        <v>798</v>
      </c>
      <c r="U151" s="52" t="s">
        <v>789</v>
      </c>
    </row>
    <row r="152" spans="1:21">
      <c r="A152" s="115" t="s">
        <v>24</v>
      </c>
      <c r="B152" s="104">
        <f>SUM(B150:B151)</f>
        <v>193.21500000000003</v>
      </c>
      <c r="C152" s="104" t="s">
        <v>437</v>
      </c>
    </row>
    <row r="153" spans="1:21">
      <c r="A153" s="3"/>
      <c r="B153" s="104"/>
      <c r="C153" s="104"/>
    </row>
    <row r="154" spans="1:21">
      <c r="A154" s="2" t="s">
        <v>13</v>
      </c>
      <c r="B154" s="46"/>
      <c r="C154" s="46"/>
    </row>
    <row r="155" spans="1:21">
      <c r="A155" t="s">
        <v>7</v>
      </c>
      <c r="B155" s="46">
        <v>118.7</v>
      </c>
      <c r="C155" s="46"/>
      <c r="E155" t="s">
        <v>547</v>
      </c>
      <c r="U155" s="145" t="s">
        <v>205</v>
      </c>
    </row>
    <row r="156" spans="1:21">
      <c r="A156" t="s">
        <v>8</v>
      </c>
      <c r="B156" s="46"/>
      <c r="C156" s="46"/>
      <c r="E156" t="s">
        <v>167</v>
      </c>
      <c r="U156" s="39" t="s">
        <v>206</v>
      </c>
    </row>
    <row r="157" spans="1:21">
      <c r="A157" s="3" t="s">
        <v>57</v>
      </c>
      <c r="B157" s="104">
        <f>SUM(B155:B156)</f>
        <v>118.7</v>
      </c>
      <c r="C157" s="104"/>
    </row>
    <row r="158" spans="1:21">
      <c r="A158" s="3"/>
      <c r="B158" s="104"/>
      <c r="C158" s="104"/>
    </row>
    <row r="159" spans="1:21">
      <c r="A159" t="s">
        <v>64</v>
      </c>
      <c r="B159" s="46"/>
      <c r="C159" s="46"/>
    </row>
    <row r="160" spans="1:21">
      <c r="A160" t="s">
        <v>9</v>
      </c>
      <c r="B160" s="46">
        <v>25</v>
      </c>
      <c r="C160" s="46"/>
      <c r="E160" t="s">
        <v>548</v>
      </c>
    </row>
    <row r="161" spans="1:9">
      <c r="A161" t="s">
        <v>10</v>
      </c>
      <c r="B161" s="46">
        <v>91</v>
      </c>
      <c r="C161" s="46"/>
      <c r="E161" t="s">
        <v>548</v>
      </c>
    </row>
    <row r="162" spans="1:9">
      <c r="A162" s="3" t="s">
        <v>24</v>
      </c>
      <c r="B162" s="104">
        <f>SUM(B160:B161)</f>
        <v>116</v>
      </c>
      <c r="C162" s="104"/>
      <c r="E162" t="s">
        <v>429</v>
      </c>
    </row>
    <row r="163" spans="1:9">
      <c r="B163" s="46"/>
      <c r="C163" s="46"/>
    </row>
    <row r="164" spans="1:9" ht="15.75">
      <c r="A164" s="48" t="s">
        <v>23</v>
      </c>
      <c r="B164" s="139">
        <f>SUM(B137+B143+B147+B151+B150+B157+B162)</f>
        <v>677.97726000000011</v>
      </c>
      <c r="C164" s="49"/>
      <c r="D164" s="39"/>
    </row>
    <row r="165" spans="1:9" ht="15.75">
      <c r="A165" s="48"/>
      <c r="B165" s="49"/>
      <c r="C165" s="49"/>
      <c r="D165" s="39"/>
    </row>
    <row r="166" spans="1:9" ht="15.75">
      <c r="A166" s="106" t="s">
        <v>674</v>
      </c>
      <c r="B166" s="49"/>
      <c r="C166" s="49"/>
      <c r="D166" s="39"/>
    </row>
    <row r="167" spans="1:9" ht="15.75">
      <c r="A167" s="106"/>
      <c r="B167" s="49"/>
      <c r="C167" s="49"/>
      <c r="D167" s="39"/>
    </row>
    <row r="168" spans="1:9" ht="15.75">
      <c r="A168" s="106"/>
      <c r="B168" s="49"/>
      <c r="C168" s="49"/>
      <c r="D168" s="39"/>
    </row>
    <row r="169" spans="1:9">
      <c r="B169" s="41" t="s">
        <v>417</v>
      </c>
      <c r="C169" s="41"/>
    </row>
    <row r="170" spans="1:9">
      <c r="B170" s="41" t="s">
        <v>823</v>
      </c>
      <c r="C170" s="41"/>
    </row>
    <row r="171" spans="1:9">
      <c r="B171" s="41" t="s">
        <v>16</v>
      </c>
      <c r="C171" s="41"/>
    </row>
    <row r="172" spans="1:9">
      <c r="A172" s="2" t="s">
        <v>11</v>
      </c>
      <c r="B172" s="106"/>
      <c r="C172" s="106"/>
    </row>
    <row r="173" spans="1:9">
      <c r="B173" s="106"/>
      <c r="C173" s="106"/>
    </row>
    <row r="174" spans="1:9">
      <c r="A174" t="s">
        <v>0</v>
      </c>
      <c r="B174" s="46">
        <f>'CAN Disability details 12-13'!B6*0.031</f>
        <v>21.39</v>
      </c>
      <c r="C174" s="46"/>
      <c r="D174" s="302" t="s">
        <v>217</v>
      </c>
      <c r="E174" t="s">
        <v>811</v>
      </c>
    </row>
    <row r="175" spans="1:9">
      <c r="A175" t="s">
        <v>1</v>
      </c>
      <c r="B175" s="46">
        <f>'CAN Disability details 12-13'!B7*0.031</f>
        <v>37.200000000000003</v>
      </c>
      <c r="C175" s="46"/>
      <c r="D175" s="302" t="s">
        <v>217</v>
      </c>
      <c r="E175" t="s">
        <v>218</v>
      </c>
      <c r="I175" t="s">
        <v>93</v>
      </c>
    </row>
    <row r="176" spans="1:9">
      <c r="A176" t="s">
        <v>14</v>
      </c>
      <c r="B176" s="46">
        <f>'CAN Disability details 12-13'!B8*0.031</f>
        <v>3.2549999999999999</v>
      </c>
      <c r="C176" s="46"/>
      <c r="D176" s="302" t="s">
        <v>217</v>
      </c>
      <c r="E176" s="52" t="s">
        <v>769</v>
      </c>
    </row>
    <row r="177" spans="1:16">
      <c r="A177" t="s">
        <v>2</v>
      </c>
      <c r="B177" s="46">
        <f>'CAN Disability details 12-13'!B9*0.031</f>
        <v>0.155</v>
      </c>
      <c r="C177" s="46"/>
      <c r="D177" s="302" t="s">
        <v>217</v>
      </c>
    </row>
    <row r="178" spans="1:16">
      <c r="A178" t="s">
        <v>68</v>
      </c>
      <c r="B178" s="46">
        <f>'CAN Disability details 12-13'!B10*0.031</f>
        <v>0</v>
      </c>
      <c r="C178" s="46"/>
      <c r="D178" s="302" t="s">
        <v>217</v>
      </c>
    </row>
    <row r="179" spans="1:16">
      <c r="A179" t="s">
        <v>3</v>
      </c>
      <c r="B179" s="46">
        <f>'CAN Disability details 12-13'!B11*0.031</f>
        <v>4.34</v>
      </c>
      <c r="C179" s="46"/>
      <c r="D179" s="302" t="s">
        <v>217</v>
      </c>
    </row>
    <row r="180" spans="1:16">
      <c r="A180" t="s">
        <v>15</v>
      </c>
      <c r="B180" s="46">
        <f>'CAN Disability details 12-13'!B12*0.031</f>
        <v>8.1988800000000008</v>
      </c>
      <c r="C180" s="46"/>
      <c r="D180" s="302" t="s">
        <v>217</v>
      </c>
      <c r="E180" s="248" t="s">
        <v>901</v>
      </c>
      <c r="F180" s="249"/>
      <c r="G180" s="249"/>
      <c r="H180" s="249"/>
      <c r="I180" s="30"/>
      <c r="J180" s="30"/>
      <c r="K180" s="30"/>
      <c r="L180" s="30"/>
      <c r="M180" s="30"/>
      <c r="N180" s="30"/>
      <c r="O180" s="30"/>
      <c r="P180" s="30"/>
    </row>
    <row r="181" spans="1:16">
      <c r="A181" s="3" t="s">
        <v>24</v>
      </c>
      <c r="B181" s="104">
        <f>SUM(B174:B180)</f>
        <v>74.538880000000006</v>
      </c>
      <c r="C181" s="104"/>
      <c r="E181" s="6"/>
    </row>
    <row r="182" spans="1:16">
      <c r="B182" s="46"/>
      <c r="C182" s="46"/>
    </row>
    <row r="183" spans="1:16">
      <c r="A183" s="2" t="s">
        <v>4</v>
      </c>
      <c r="B183" s="46"/>
      <c r="C183" s="46"/>
    </row>
    <row r="184" spans="1:16">
      <c r="A184" t="s">
        <v>5</v>
      </c>
      <c r="B184" s="46">
        <v>101.4</v>
      </c>
      <c r="C184" s="46"/>
      <c r="E184" s="52" t="s">
        <v>747</v>
      </c>
      <c r="F184" s="30"/>
      <c r="G184" s="30"/>
      <c r="H184" s="30"/>
      <c r="I184" s="30"/>
      <c r="J184" s="30"/>
      <c r="K184" s="30"/>
      <c r="L184" s="30"/>
      <c r="M184" s="30"/>
      <c r="N184" s="30"/>
      <c r="O184" s="30"/>
      <c r="P184" s="30"/>
    </row>
    <row r="185" spans="1:16" ht="12.75" customHeight="1">
      <c r="A185" t="s">
        <v>69</v>
      </c>
      <c r="B185" s="105"/>
      <c r="C185" s="105"/>
      <c r="E185" s="300"/>
      <c r="F185" s="300"/>
      <c r="G185" s="300"/>
      <c r="H185" s="300"/>
      <c r="I185" s="300"/>
      <c r="J185" s="300"/>
      <c r="K185" s="300"/>
      <c r="L185" s="300"/>
      <c r="M185" s="300"/>
      <c r="N185" s="300"/>
      <c r="O185" s="300"/>
      <c r="P185" s="300"/>
    </row>
    <row r="186" spans="1:16">
      <c r="A186" t="s">
        <v>6</v>
      </c>
      <c r="B186" s="114">
        <v>24.7</v>
      </c>
      <c r="C186" s="114"/>
      <c r="D186" s="103"/>
      <c r="E186" s="120" t="s">
        <v>694</v>
      </c>
      <c r="F186" s="103"/>
      <c r="G186" s="103"/>
      <c r="H186" s="103"/>
      <c r="I186" s="103"/>
      <c r="J186" s="103"/>
      <c r="K186" s="103"/>
      <c r="L186" s="103"/>
      <c r="M186" s="103"/>
      <c r="N186" s="103"/>
      <c r="O186" s="103"/>
      <c r="P186" s="103"/>
    </row>
    <row r="187" spans="1:16">
      <c r="A187" s="3" t="s">
        <v>24</v>
      </c>
      <c r="B187" s="112">
        <f>SUM(B184:B186)</f>
        <v>126.10000000000001</v>
      </c>
      <c r="C187" s="112"/>
      <c r="D187" s="103"/>
      <c r="E187" s="103"/>
      <c r="F187" s="103"/>
      <c r="G187" s="103"/>
      <c r="H187" s="103"/>
    </row>
    <row r="188" spans="1:16">
      <c r="A188" s="3"/>
      <c r="B188" s="112"/>
      <c r="C188" s="112"/>
      <c r="D188" s="103"/>
      <c r="E188" s="103"/>
      <c r="F188" s="103"/>
      <c r="G188" s="103"/>
      <c r="H188" s="103"/>
    </row>
    <row r="189" spans="1:16">
      <c r="A189" s="52" t="s">
        <v>101</v>
      </c>
      <c r="B189" s="114">
        <v>49.9</v>
      </c>
      <c r="C189" s="112"/>
      <c r="D189" s="103"/>
      <c r="E189" s="103"/>
      <c r="F189" s="103"/>
      <c r="G189" s="103"/>
      <c r="H189" s="103"/>
    </row>
    <row r="190" spans="1:16">
      <c r="A190" s="52" t="s">
        <v>709</v>
      </c>
      <c r="B190" s="46">
        <v>5.2</v>
      </c>
      <c r="C190" s="46"/>
      <c r="E190" s="103"/>
      <c r="F190" s="103"/>
      <c r="G190" s="103"/>
      <c r="H190" s="103"/>
      <c r="I190" s="103"/>
      <c r="J190" s="103"/>
      <c r="K190" s="103"/>
      <c r="L190" s="103"/>
      <c r="M190" s="103"/>
      <c r="N190" s="103"/>
      <c r="O190" s="103"/>
      <c r="P190" s="103"/>
    </row>
    <row r="191" spans="1:16">
      <c r="A191" s="2" t="s">
        <v>478</v>
      </c>
      <c r="B191" s="104">
        <f>SUM(B189:B190)</f>
        <v>55.1</v>
      </c>
      <c r="C191" s="104"/>
      <c r="E191" t="s">
        <v>98</v>
      </c>
    </row>
    <row r="192" spans="1:16">
      <c r="A192" s="3"/>
      <c r="B192" s="104"/>
      <c r="C192" s="104"/>
    </row>
    <row r="193" spans="1:5">
      <c r="A193" s="2" t="s">
        <v>334</v>
      </c>
      <c r="B193" s="46"/>
      <c r="C193" s="46"/>
    </row>
    <row r="194" spans="1:5">
      <c r="A194" s="103" t="s">
        <v>335</v>
      </c>
      <c r="B194" s="46">
        <f>'SA $ by prov 12-13'!B79*0.532</f>
        <v>98.526399999999995</v>
      </c>
      <c r="C194" s="46"/>
      <c r="E194" s="262" t="s">
        <v>995</v>
      </c>
    </row>
    <row r="195" spans="1:5">
      <c r="A195" s="103" t="s">
        <v>12</v>
      </c>
      <c r="B195" s="46">
        <f>136.9*0.57</f>
        <v>78.033000000000001</v>
      </c>
      <c r="C195" s="46" t="s">
        <v>437</v>
      </c>
      <c r="E195" s="278" t="s">
        <v>980</v>
      </c>
    </row>
    <row r="196" spans="1:5">
      <c r="A196" s="115" t="s">
        <v>24</v>
      </c>
      <c r="B196" s="104">
        <f>SUM(B194:B195)</f>
        <v>176.55939999999998</v>
      </c>
      <c r="C196" s="104" t="s">
        <v>437</v>
      </c>
    </row>
    <row r="197" spans="1:5">
      <c r="A197" s="3"/>
      <c r="B197" s="104"/>
      <c r="C197" s="104"/>
    </row>
    <row r="198" spans="1:5">
      <c r="A198" s="34" t="s">
        <v>991</v>
      </c>
      <c r="B198" s="310">
        <f>'SA $ by prov 12-13'!B43</f>
        <v>98.7</v>
      </c>
      <c r="C198" s="104"/>
      <c r="E198" s="30" t="s">
        <v>992</v>
      </c>
    </row>
    <row r="199" spans="1:5">
      <c r="A199" s="3"/>
      <c r="B199" s="104"/>
      <c r="C199" s="104"/>
    </row>
    <row r="200" spans="1:5">
      <c r="A200" s="2" t="s">
        <v>13</v>
      </c>
      <c r="B200" s="46"/>
      <c r="C200" s="46"/>
    </row>
    <row r="201" spans="1:5">
      <c r="A201" t="s">
        <v>7</v>
      </c>
      <c r="B201" s="46">
        <v>119.6</v>
      </c>
      <c r="C201" s="46"/>
      <c r="E201" s="52" t="s">
        <v>973</v>
      </c>
    </row>
    <row r="202" spans="1:5">
      <c r="A202" t="s">
        <v>8</v>
      </c>
      <c r="B202" s="46"/>
      <c r="C202" s="46"/>
      <c r="E202" t="s">
        <v>167</v>
      </c>
    </row>
    <row r="203" spans="1:5">
      <c r="A203" s="3" t="s">
        <v>57</v>
      </c>
      <c r="B203" s="104">
        <f>SUM(B201:B202)</f>
        <v>119.6</v>
      </c>
      <c r="C203" s="104"/>
    </row>
    <row r="204" spans="1:5">
      <c r="A204" s="3"/>
      <c r="B204" s="104"/>
      <c r="C204" s="104"/>
    </row>
    <row r="205" spans="1:5">
      <c r="A205" t="s">
        <v>64</v>
      </c>
      <c r="B205" s="46"/>
      <c r="C205" s="46"/>
    </row>
    <row r="206" spans="1:5">
      <c r="A206" t="s">
        <v>9</v>
      </c>
      <c r="B206" s="46">
        <v>26</v>
      </c>
      <c r="C206" s="46"/>
      <c r="E206" s="52" t="s">
        <v>961</v>
      </c>
    </row>
    <row r="207" spans="1:5">
      <c r="A207" t="s">
        <v>10</v>
      </c>
      <c r="B207" s="46">
        <v>95</v>
      </c>
      <c r="C207" s="46"/>
      <c r="E207" s="52" t="s">
        <v>961</v>
      </c>
    </row>
    <row r="208" spans="1:5">
      <c r="A208" s="3" t="s">
        <v>24</v>
      </c>
      <c r="B208" s="104">
        <f>SUM(B206:B207)</f>
        <v>121</v>
      </c>
      <c r="C208" s="104"/>
      <c r="E208" t="s">
        <v>429</v>
      </c>
    </row>
    <row r="209" spans="1:16">
      <c r="B209" s="46"/>
      <c r="C209" s="46"/>
    </row>
    <row r="210" spans="1:16" ht="15.75">
      <c r="A210" s="48" t="s">
        <v>23</v>
      </c>
      <c r="B210" s="49">
        <f>SUM(B181+B187+B191+B196+B203+B198+B208)</f>
        <v>771.59828000000005</v>
      </c>
      <c r="C210" s="49"/>
      <c r="D210" s="39"/>
    </row>
    <row r="211" spans="1:16" ht="15.75">
      <c r="A211" s="106"/>
      <c r="B211" s="49"/>
      <c r="C211" s="49"/>
      <c r="D211" s="39"/>
    </row>
    <row r="212" spans="1:16" ht="15.75">
      <c r="A212" s="106"/>
      <c r="B212" s="49"/>
      <c r="C212" s="49"/>
      <c r="D212" s="39"/>
    </row>
    <row r="213" spans="1:16">
      <c r="A213" s="39"/>
      <c r="B213" s="41" t="s">
        <v>417</v>
      </c>
      <c r="C213" s="41"/>
    </row>
    <row r="214" spans="1:16">
      <c r="A214" s="39"/>
      <c r="B214" s="41" t="s">
        <v>824</v>
      </c>
      <c r="C214" s="41"/>
    </row>
    <row r="215" spans="1:16">
      <c r="A215" s="39"/>
      <c r="B215" s="41" t="s">
        <v>16</v>
      </c>
      <c r="C215" s="41"/>
    </row>
    <row r="216" spans="1:16">
      <c r="A216" s="50" t="s">
        <v>11</v>
      </c>
      <c r="B216" s="106"/>
      <c r="C216" s="106"/>
    </row>
    <row r="217" spans="1:16">
      <c r="A217" s="39"/>
      <c r="B217" s="106"/>
      <c r="C217" s="106"/>
    </row>
    <row r="218" spans="1:16">
      <c r="A218" s="39" t="s">
        <v>0</v>
      </c>
      <c r="B218" s="46">
        <f>'CAN Disability detailes 13-14'!B6*0.031</f>
        <v>22.32</v>
      </c>
      <c r="C218" s="46"/>
      <c r="D218" s="302" t="s">
        <v>217</v>
      </c>
      <c r="E218" t="s">
        <v>811</v>
      </c>
    </row>
    <row r="219" spans="1:16">
      <c r="A219" s="39" t="s">
        <v>1</v>
      </c>
      <c r="B219" s="46">
        <f>'CAN Disability detailes 13-14'!B7*0.031</f>
        <v>40.145000000000003</v>
      </c>
      <c r="C219" s="46"/>
      <c r="D219" s="302" t="s">
        <v>217</v>
      </c>
      <c r="E219" t="s">
        <v>218</v>
      </c>
      <c r="I219" t="s">
        <v>93</v>
      </c>
    </row>
    <row r="220" spans="1:16">
      <c r="A220" s="39" t="s">
        <v>14</v>
      </c>
      <c r="B220" s="46">
        <f>'CAN Disability detailes 13-14'!B8*0.031</f>
        <v>3.41</v>
      </c>
      <c r="C220" s="46"/>
      <c r="D220" s="302" t="s">
        <v>217</v>
      </c>
      <c r="E220" s="52" t="s">
        <v>769</v>
      </c>
    </row>
    <row r="221" spans="1:16">
      <c r="A221" s="39" t="s">
        <v>2</v>
      </c>
      <c r="B221" s="46">
        <f>'CAN Disability detailes 13-14'!B9*0.031</f>
        <v>0.186</v>
      </c>
      <c r="C221" s="46"/>
      <c r="D221" s="302" t="s">
        <v>217</v>
      </c>
    </row>
    <row r="222" spans="1:16">
      <c r="A222" s="39" t="s">
        <v>68</v>
      </c>
      <c r="B222" s="46">
        <f>'CAN Disability detailes 13-14'!B10*0.031</f>
        <v>0</v>
      </c>
      <c r="C222" s="46"/>
      <c r="D222" s="302" t="s">
        <v>217</v>
      </c>
    </row>
    <row r="223" spans="1:16">
      <c r="A223" s="39" t="s">
        <v>3</v>
      </c>
      <c r="B223" s="46">
        <f>'CAN Disability detailes 13-14'!B11*0.031</f>
        <v>4.4950000000000001</v>
      </c>
      <c r="C223" s="46"/>
      <c r="D223" s="302" t="s">
        <v>217</v>
      </c>
    </row>
    <row r="224" spans="1:16">
      <c r="A224" s="39" t="s">
        <v>15</v>
      </c>
      <c r="B224" s="46">
        <f>'CAN Disability detailes 13-14'!B12*0.031</f>
        <v>7.6143749999999999</v>
      </c>
      <c r="C224" s="46"/>
      <c r="D224" s="302" t="s">
        <v>217</v>
      </c>
      <c r="E224" s="248" t="s">
        <v>908</v>
      </c>
      <c r="F224" s="249"/>
      <c r="G224" s="249"/>
      <c r="H224" s="249"/>
      <c r="I224" s="30"/>
      <c r="J224" s="30"/>
      <c r="K224" s="30"/>
      <c r="L224" s="30"/>
      <c r="M224" s="30"/>
      <c r="N224" s="30"/>
      <c r="O224" s="30"/>
      <c r="P224" s="30"/>
    </row>
    <row r="225" spans="1:16">
      <c r="A225" s="258" t="s">
        <v>24</v>
      </c>
      <c r="B225" s="104">
        <f>SUM(B218:B224)</f>
        <v>78.170375000000007</v>
      </c>
      <c r="C225" s="104"/>
      <c r="E225" s="6"/>
    </row>
    <row r="226" spans="1:16">
      <c r="B226" s="46"/>
      <c r="C226" s="46"/>
    </row>
    <row r="227" spans="1:16">
      <c r="A227" s="2" t="s">
        <v>4</v>
      </c>
      <c r="B227" s="46"/>
      <c r="C227" s="46"/>
    </row>
    <row r="228" spans="1:16">
      <c r="A228" t="s">
        <v>5</v>
      </c>
      <c r="B228" s="46">
        <v>102.4</v>
      </c>
      <c r="C228" s="46"/>
      <c r="E228" s="52" t="s">
        <v>747</v>
      </c>
      <c r="F228" s="30"/>
      <c r="G228" s="30"/>
      <c r="H228" s="30"/>
      <c r="I228" s="30"/>
      <c r="J228" s="30"/>
      <c r="K228" s="30"/>
      <c r="L228" s="30"/>
      <c r="M228" s="30"/>
      <c r="N228" s="30"/>
      <c r="O228" s="30"/>
      <c r="P228" s="30"/>
    </row>
    <row r="229" spans="1:16">
      <c r="A229" t="s">
        <v>69</v>
      </c>
      <c r="B229" s="105"/>
      <c r="C229" s="105"/>
      <c r="E229" s="300"/>
      <c r="F229" s="300"/>
      <c r="G229" s="300"/>
      <c r="H229" s="300"/>
      <c r="I229" s="300"/>
      <c r="J229" s="300"/>
      <c r="K229" s="300"/>
      <c r="L229" s="300"/>
      <c r="M229" s="300"/>
      <c r="N229" s="300"/>
      <c r="O229" s="300"/>
      <c r="P229" s="300"/>
    </row>
    <row r="230" spans="1:16">
      <c r="A230" t="s">
        <v>6</v>
      </c>
      <c r="B230" s="114">
        <v>28.3</v>
      </c>
      <c r="C230" s="114"/>
      <c r="D230" s="103"/>
      <c r="E230" s="120" t="s">
        <v>971</v>
      </c>
      <c r="F230" s="103"/>
      <c r="G230" s="103"/>
      <c r="H230" s="103"/>
      <c r="I230" s="103"/>
      <c r="J230" s="103"/>
      <c r="K230" s="103"/>
      <c r="L230" s="103"/>
      <c r="M230" s="103"/>
      <c r="N230" s="103"/>
      <c r="O230" s="103"/>
      <c r="P230" s="103"/>
    </row>
    <row r="231" spans="1:16">
      <c r="A231" s="3" t="s">
        <v>24</v>
      </c>
      <c r="B231" s="112">
        <f>SUM(B228:B230)</f>
        <v>130.70000000000002</v>
      </c>
      <c r="C231" s="112"/>
      <c r="D231" s="103"/>
      <c r="E231" s="103"/>
      <c r="F231" s="103"/>
      <c r="G231" s="103"/>
      <c r="H231" s="103"/>
    </row>
    <row r="232" spans="1:16">
      <c r="A232" s="3"/>
      <c r="B232" s="112"/>
      <c r="C232" s="112"/>
      <c r="D232" s="103"/>
      <c r="E232" s="103"/>
      <c r="F232" s="103"/>
      <c r="G232" s="103"/>
      <c r="H232" s="103"/>
    </row>
    <row r="233" spans="1:16">
      <c r="A233" s="52" t="s">
        <v>101</v>
      </c>
      <c r="B233" s="114">
        <v>46.3</v>
      </c>
      <c r="C233" s="112"/>
      <c r="D233" s="103"/>
      <c r="E233" s="103"/>
      <c r="F233" s="103"/>
      <c r="G233" s="103"/>
      <c r="H233" s="103"/>
    </row>
    <row r="234" spans="1:16">
      <c r="A234" s="52" t="s">
        <v>709</v>
      </c>
      <c r="B234" s="46">
        <v>3.9</v>
      </c>
      <c r="C234" s="46"/>
      <c r="E234" s="103"/>
      <c r="F234" s="103"/>
      <c r="G234" s="103"/>
      <c r="H234" s="103"/>
      <c r="I234" s="103"/>
      <c r="J234" s="103"/>
      <c r="K234" s="103"/>
      <c r="L234" s="103"/>
      <c r="M234" s="103"/>
      <c r="N234" s="103"/>
      <c r="O234" s="103"/>
      <c r="P234" s="103"/>
    </row>
    <row r="235" spans="1:16">
      <c r="A235" s="2" t="s">
        <v>478</v>
      </c>
      <c r="B235" s="104">
        <f>SUM(B233:B234)</f>
        <v>50.199999999999996</v>
      </c>
      <c r="C235" s="104"/>
      <c r="E235" t="s">
        <v>98</v>
      </c>
    </row>
    <row r="236" spans="1:16">
      <c r="A236" s="3"/>
      <c r="B236" s="104"/>
      <c r="C236" s="104"/>
    </row>
    <row r="237" spans="1:16">
      <c r="A237" s="2" t="s">
        <v>334</v>
      </c>
      <c r="B237" s="46"/>
      <c r="C237" s="46"/>
    </row>
    <row r="238" spans="1:16">
      <c r="A238" s="103" t="s">
        <v>335</v>
      </c>
      <c r="B238" s="46">
        <f>'SA $ by prov 13-14'!B22*0.453</f>
        <v>73.068900000000014</v>
      </c>
      <c r="C238" s="46" t="s">
        <v>437</v>
      </c>
      <c r="E238" s="262" t="s">
        <v>994</v>
      </c>
    </row>
    <row r="239" spans="1:16">
      <c r="A239" s="103" t="s">
        <v>12</v>
      </c>
      <c r="B239" s="46">
        <f>140.4*0.59</f>
        <v>82.835999999999999</v>
      </c>
      <c r="C239" s="46" t="s">
        <v>437</v>
      </c>
      <c r="E239" s="278" t="s">
        <v>989</v>
      </c>
    </row>
    <row r="240" spans="1:16">
      <c r="A240" s="115" t="s">
        <v>24</v>
      </c>
      <c r="B240" s="104">
        <f>SUM(B238:B239)</f>
        <v>155.9049</v>
      </c>
      <c r="C240" s="104" t="s">
        <v>437</v>
      </c>
    </row>
    <row r="241" spans="1:5">
      <c r="A241" s="115"/>
      <c r="B241" s="104"/>
      <c r="C241" s="104"/>
    </row>
    <row r="242" spans="1:5">
      <c r="A242" s="115" t="s">
        <v>991</v>
      </c>
      <c r="B242" s="104">
        <f>'SA $ by prov 13-14'!B43</f>
        <v>157.5</v>
      </c>
      <c r="C242" s="104"/>
    </row>
    <row r="243" spans="1:5">
      <c r="A243" s="3"/>
      <c r="B243" s="104"/>
      <c r="C243" s="104"/>
    </row>
    <row r="244" spans="1:5">
      <c r="A244" s="2" t="s">
        <v>13</v>
      </c>
      <c r="B244" s="46"/>
      <c r="C244" s="46"/>
    </row>
    <row r="245" spans="1:5">
      <c r="A245" t="s">
        <v>7</v>
      </c>
      <c r="B245" s="46">
        <v>119.2</v>
      </c>
      <c r="C245" s="46"/>
      <c r="E245" s="52" t="s">
        <v>974</v>
      </c>
    </row>
    <row r="246" spans="1:5">
      <c r="A246" t="s">
        <v>8</v>
      </c>
      <c r="B246" s="46"/>
      <c r="C246" s="46"/>
      <c r="E246" s="52" t="s">
        <v>990</v>
      </c>
    </row>
    <row r="247" spans="1:5">
      <c r="A247" s="3" t="s">
        <v>57</v>
      </c>
      <c r="B247" s="104">
        <f>SUM(B245:B246)</f>
        <v>119.2</v>
      </c>
      <c r="C247" s="104"/>
    </row>
    <row r="248" spans="1:5">
      <c r="A248" s="3"/>
      <c r="B248" s="104"/>
      <c r="C248" s="104"/>
    </row>
    <row r="249" spans="1:5">
      <c r="A249" t="s">
        <v>64</v>
      </c>
      <c r="B249" s="46"/>
      <c r="C249" s="46"/>
    </row>
    <row r="250" spans="1:5">
      <c r="A250" t="s">
        <v>9</v>
      </c>
      <c r="B250" s="46">
        <v>26</v>
      </c>
      <c r="C250" s="46"/>
      <c r="E250" s="52" t="s">
        <v>927</v>
      </c>
    </row>
    <row r="251" spans="1:5">
      <c r="A251" t="s">
        <v>10</v>
      </c>
      <c r="B251" s="46">
        <v>111</v>
      </c>
      <c r="C251" s="46"/>
      <c r="E251" s="52" t="s">
        <v>927</v>
      </c>
    </row>
    <row r="252" spans="1:5">
      <c r="A252" s="3" t="s">
        <v>24</v>
      </c>
      <c r="B252" s="104">
        <f>SUM(B250:B251)</f>
        <v>137</v>
      </c>
      <c r="C252" s="104"/>
      <c r="E252" t="s">
        <v>429</v>
      </c>
    </row>
    <row r="253" spans="1:5">
      <c r="B253" s="46"/>
      <c r="C253" s="46"/>
    </row>
    <row r="254" spans="1:5" ht="15.75">
      <c r="A254" s="48" t="s">
        <v>23</v>
      </c>
      <c r="B254" s="49">
        <f>SUM(B225+B231+B235+B240+B242+B247+B252)</f>
        <v>828.67527500000006</v>
      </c>
      <c r="C254" s="49"/>
      <c r="D254" s="39"/>
    </row>
    <row r="255" spans="1:5" ht="15.75">
      <c r="A255" s="106"/>
      <c r="B255" s="49"/>
      <c r="C255" s="49"/>
      <c r="D255" s="39"/>
    </row>
    <row r="256" spans="1:5" ht="15.75">
      <c r="A256" s="106"/>
      <c r="B256" s="49"/>
      <c r="C256" s="49"/>
      <c r="D256" s="39"/>
    </row>
    <row r="257" spans="1:28" ht="15.75">
      <c r="A257" s="106"/>
      <c r="B257" s="49"/>
      <c r="C257" s="49"/>
      <c r="D257" s="39"/>
    </row>
    <row r="259" spans="1:28">
      <c r="V259" s="224" t="s">
        <v>687</v>
      </c>
      <c r="W259" s="224"/>
      <c r="X259" s="224"/>
      <c r="Y259" s="224"/>
      <c r="Z259" s="2"/>
      <c r="AA259" s="2"/>
      <c r="AB259" s="2"/>
    </row>
    <row r="260" spans="1:28" ht="15.75">
      <c r="A260" s="4" t="s">
        <v>432</v>
      </c>
      <c r="V260" s="226">
        <v>2005</v>
      </c>
      <c r="W260" s="226">
        <v>2010</v>
      </c>
      <c r="X260" s="226">
        <v>2011</v>
      </c>
      <c r="Y260" s="226">
        <v>2013</v>
      </c>
      <c r="Z260" s="226"/>
      <c r="AA260" s="226"/>
      <c r="AB260" s="226"/>
    </row>
    <row r="261" spans="1:28" ht="44.25" customHeight="1">
      <c r="A261" s="4"/>
      <c r="O261" s="2" t="s">
        <v>389</v>
      </c>
      <c r="V261" s="232">
        <v>993523</v>
      </c>
      <c r="W261" s="232">
        <v>1051425</v>
      </c>
      <c r="X261" s="232">
        <v>1066349</v>
      </c>
      <c r="Y261" s="232">
        <v>1106122</v>
      </c>
      <c r="Z261" s="322" t="s">
        <v>1031</v>
      </c>
      <c r="AA261" s="322"/>
      <c r="AB261" s="322"/>
    </row>
    <row r="262" spans="1:28" ht="51">
      <c r="B262" s="41" t="s">
        <v>58</v>
      </c>
      <c r="C262" s="41"/>
      <c r="D262" s="41" t="s">
        <v>181</v>
      </c>
      <c r="E262" s="256" t="s">
        <v>743</v>
      </c>
      <c r="F262" s="41" t="s">
        <v>514</v>
      </c>
      <c r="G262" s="256" t="s">
        <v>743</v>
      </c>
      <c r="H262" s="2" t="s">
        <v>689</v>
      </c>
      <c r="I262" s="256" t="s">
        <v>743</v>
      </c>
      <c r="J262" s="301" t="s">
        <v>823</v>
      </c>
      <c r="K262" s="301" t="s">
        <v>743</v>
      </c>
      <c r="L262" s="301" t="s">
        <v>824</v>
      </c>
      <c r="M262" s="301" t="s">
        <v>743</v>
      </c>
      <c r="N262" s="301"/>
      <c r="O262" s="41" t="s">
        <v>58</v>
      </c>
      <c r="P262" s="41" t="s">
        <v>181</v>
      </c>
      <c r="Q262" s="41" t="s">
        <v>514</v>
      </c>
      <c r="R262" s="2" t="s">
        <v>689</v>
      </c>
      <c r="S262" s="2" t="s">
        <v>823</v>
      </c>
      <c r="T262" s="41" t="s">
        <v>824</v>
      </c>
      <c r="V262" s="230"/>
      <c r="W262" s="230"/>
      <c r="X262" s="230"/>
      <c r="Y262" s="230"/>
      <c r="Z262" s="256" t="s">
        <v>743</v>
      </c>
    </row>
    <row r="263" spans="1:28">
      <c r="A263" s="2" t="s">
        <v>11</v>
      </c>
      <c r="B263" s="9">
        <f>B13</f>
        <v>53.009999999999991</v>
      </c>
      <c r="C263" s="9"/>
      <c r="D263" s="9">
        <f>B54</f>
        <v>63.503500000000003</v>
      </c>
      <c r="E263" s="29">
        <f>(D263-B263)/B263</f>
        <v>0.19795321637426927</v>
      </c>
      <c r="F263" s="9">
        <f>B95</f>
        <v>67.9024</v>
      </c>
      <c r="G263" s="29">
        <f>(F263-B263)/B263</f>
        <v>0.28093567251462009</v>
      </c>
      <c r="H263" s="9">
        <f>B137</f>
        <v>71.562260000000009</v>
      </c>
      <c r="I263" s="29">
        <f>(H263-B263)/B263</f>
        <v>0.34997660818713489</v>
      </c>
      <c r="J263" s="9">
        <f>B181</f>
        <v>74.538880000000006</v>
      </c>
      <c r="K263" s="29">
        <f>(J263-B263)/B263</f>
        <v>0.40612865497076062</v>
      </c>
      <c r="L263" s="9">
        <f>B225</f>
        <v>78.170375000000007</v>
      </c>
      <c r="M263" s="29">
        <f>(L263-B263)/B263</f>
        <v>0.47463450292397702</v>
      </c>
      <c r="N263" s="29"/>
      <c r="O263" s="29">
        <f>B263/$B$274</f>
        <v>9.0493798076430612E-2</v>
      </c>
      <c r="P263" s="29">
        <f>D263/$D$274</f>
        <v>9.4112679717523406E-2</v>
      </c>
      <c r="Q263" s="29">
        <f>F263/$F$274</f>
        <v>0.10190393035120048</v>
      </c>
      <c r="R263" s="29">
        <f>H263/$H$274</f>
        <v>0.10555259626259444</v>
      </c>
      <c r="S263" s="29">
        <f>J263/$J$274</f>
        <v>9.6603222080795734E-2</v>
      </c>
      <c r="T263" s="29">
        <f>L263/$L$274</f>
        <v>9.4331733259448339E-2</v>
      </c>
      <c r="V263" s="225">
        <f t="shared" ref="V263:V274" si="0">(B263*1000000)/$V$261</f>
        <v>53.355584118334441</v>
      </c>
      <c r="W263" s="225">
        <f t="shared" ref="W263:W274" si="1">(F263*1000000)/$W$261</f>
        <v>64.581306322372015</v>
      </c>
      <c r="X263" s="225">
        <f>(H263*1000000)/$X$261</f>
        <v>67.1096048291882</v>
      </c>
      <c r="Y263" s="225">
        <f>L263*1000000/$Y$261</f>
        <v>70.67066291060118</v>
      </c>
      <c r="Z263" s="56">
        <f>(X263-V263)/V263</f>
        <v>0.25778034179795439</v>
      </c>
      <c r="AA263" s="2"/>
      <c r="AB263" s="2"/>
    </row>
    <row r="264" spans="1:28">
      <c r="A264" s="2" t="s">
        <v>5</v>
      </c>
      <c r="B264" s="9">
        <f>B16</f>
        <v>80.5</v>
      </c>
      <c r="C264" s="9"/>
      <c r="D264" s="9">
        <f>B57</f>
        <v>90</v>
      </c>
      <c r="E264" s="29">
        <f t="shared" ref="E264:E279" si="2">(D264-B264)/B264</f>
        <v>0.11801242236024845</v>
      </c>
      <c r="F264" s="9">
        <f>B98</f>
        <v>93</v>
      </c>
      <c r="G264" s="29">
        <f t="shared" ref="G264:G274" si="3">(F264-B264)/B264</f>
        <v>0.15527950310559005</v>
      </c>
      <c r="H264" s="9">
        <f>B140</f>
        <v>99.3</v>
      </c>
      <c r="I264" s="29">
        <f t="shared" ref="I264:I274" si="4">(H264-B264)/B264</f>
        <v>0.23354037267080741</v>
      </c>
      <c r="J264" s="9">
        <f>B184</f>
        <v>101.4</v>
      </c>
      <c r="K264" s="29">
        <f t="shared" ref="K264:K274" si="5">(J264-B264)/B264</f>
        <v>0.25962732919254666</v>
      </c>
      <c r="L264" s="9">
        <f>B228</f>
        <v>102.4</v>
      </c>
      <c r="M264" s="29">
        <f t="shared" ref="M264:M274" si="6">(L264-B264)/B264</f>
        <v>0.27204968944099384</v>
      </c>
      <c r="N264" s="29"/>
      <c r="O264" s="29">
        <f t="shared" ref="O264:O274" si="7">B264/$B$274</f>
        <v>0.13742219855032384</v>
      </c>
      <c r="P264" s="29">
        <f t="shared" ref="P264:P274" si="8">D264/$D$274</f>
        <v>0.13338069830130792</v>
      </c>
      <c r="Q264" s="29">
        <f t="shared" ref="Q264:Q274" si="9">F264/$F$274</f>
        <v>0.13956893309605617</v>
      </c>
      <c r="R264" s="29">
        <f t="shared" ref="R264:R274" si="10">H264/$H$274</f>
        <v>0.14646508940432607</v>
      </c>
      <c r="S264" s="29">
        <f t="shared" ref="S264:S274" si="11">J264/$J$274</f>
        <v>0.13141553400041278</v>
      </c>
      <c r="T264" s="29">
        <f t="shared" ref="T264:T274" si="12">L264/$L$274</f>
        <v>0.12357071954391302</v>
      </c>
      <c r="V264" s="225">
        <f t="shared" si="0"/>
        <v>81.024797614146834</v>
      </c>
      <c r="W264" s="225">
        <f t="shared" si="1"/>
        <v>88.451387402810468</v>
      </c>
      <c r="X264" s="225">
        <f t="shared" ref="X264:X279" si="13">(H264*1000000)/$X$261</f>
        <v>93.121482741578973</v>
      </c>
      <c r="Y264" s="225">
        <f t="shared" ref="Y264:Y279" si="14">L264*1000000/$Y$261</f>
        <v>92.575683333303203</v>
      </c>
      <c r="Z264" s="56">
        <f t="shared" ref="Z264:Z279" si="15">(X264-V264)/V264</f>
        <v>0.14929608568772373</v>
      </c>
      <c r="AA264" s="2"/>
      <c r="AB264" s="2"/>
    </row>
    <row r="265" spans="1:28">
      <c r="A265" s="2" t="s">
        <v>6</v>
      </c>
      <c r="B265" s="9">
        <f>B18</f>
        <v>16.600000000000001</v>
      </c>
      <c r="C265" s="9"/>
      <c r="D265" s="9">
        <f>B59</f>
        <v>23.1</v>
      </c>
      <c r="E265" s="29">
        <f t="shared" si="2"/>
        <v>0.39156626506024095</v>
      </c>
      <c r="F265" s="9">
        <f>B100</f>
        <v>22.5</v>
      </c>
      <c r="G265" s="29">
        <f t="shared" si="3"/>
        <v>0.35542168674698782</v>
      </c>
      <c r="H265" s="9">
        <f>B142</f>
        <v>24.1</v>
      </c>
      <c r="I265" s="29">
        <f t="shared" si="4"/>
        <v>0.45180722891566261</v>
      </c>
      <c r="J265" s="9">
        <f>B186</f>
        <v>24.7</v>
      </c>
      <c r="K265" s="29">
        <f t="shared" si="5"/>
        <v>0.48795180722891551</v>
      </c>
      <c r="L265" s="9">
        <f>B230</f>
        <v>28.3</v>
      </c>
      <c r="M265" s="29">
        <f t="shared" si="6"/>
        <v>0.70481927710843362</v>
      </c>
      <c r="N265" s="29"/>
      <c r="O265" s="29">
        <f t="shared" si="7"/>
        <v>2.8337993738327648E-2</v>
      </c>
      <c r="P265" s="29">
        <f t="shared" si="8"/>
        <v>3.4234379230669028E-2</v>
      </c>
      <c r="Q265" s="29">
        <f t="shared" si="9"/>
        <v>3.376667736194907E-2</v>
      </c>
      <c r="R265" s="29">
        <f t="shared" si="10"/>
        <v>3.5546914951100288E-2</v>
      </c>
      <c r="S265" s="29">
        <f t="shared" si="11"/>
        <v>3.2011476230869779E-2</v>
      </c>
      <c r="T265" s="29">
        <f t="shared" si="12"/>
        <v>3.4150892217702525E-2</v>
      </c>
      <c r="V265" s="225">
        <f t="shared" si="0"/>
        <v>16.708219135339597</v>
      </c>
      <c r="W265" s="225">
        <f t="shared" si="1"/>
        <v>21.399529210357372</v>
      </c>
      <c r="X265" s="225">
        <f t="shared" si="13"/>
        <v>22.600480705660154</v>
      </c>
      <c r="Y265" s="225">
        <f t="shared" si="14"/>
        <v>25.584881233715631</v>
      </c>
      <c r="Z265" s="56">
        <f t="shared" si="15"/>
        <v>0.35265646940539697</v>
      </c>
      <c r="AA265" s="2"/>
      <c r="AB265" s="2"/>
    </row>
    <row r="266" spans="1:28">
      <c r="A266" s="2" t="s">
        <v>478</v>
      </c>
      <c r="B266" s="9">
        <f>B21</f>
        <v>59.615999999999993</v>
      </c>
      <c r="C266" s="9"/>
      <c r="D266" s="9">
        <f>B62</f>
        <v>69.026800000000009</v>
      </c>
      <c r="E266" s="29">
        <f t="shared" si="2"/>
        <v>0.1578569511540529</v>
      </c>
      <c r="F266" s="9">
        <f>B103</f>
        <v>60.5</v>
      </c>
      <c r="G266" s="29">
        <f t="shared" si="3"/>
        <v>1.4828234031132708E-2</v>
      </c>
      <c r="H266" s="9">
        <f>B147</f>
        <v>55.1</v>
      </c>
      <c r="I266" s="29">
        <f t="shared" si="4"/>
        <v>-7.5751476113794819E-2</v>
      </c>
      <c r="J266" s="9">
        <f>B191</f>
        <v>55.1</v>
      </c>
      <c r="K266" s="29">
        <f t="shared" si="5"/>
        <v>-7.5751476113794819E-2</v>
      </c>
      <c r="L266" s="9">
        <f>B235</f>
        <v>50.199999999999996</v>
      </c>
      <c r="M266" s="29">
        <f t="shared" si="6"/>
        <v>-0.15794417606011807</v>
      </c>
      <c r="N266" s="29"/>
      <c r="O266" s="29">
        <f t="shared" si="7"/>
        <v>0.1017709538978398</v>
      </c>
      <c r="P266" s="29">
        <f t="shared" si="8"/>
        <v>0.10229825317227469</v>
      </c>
      <c r="Q266" s="29">
        <f t="shared" si="9"/>
        <v>9.0794843573240844E-2</v>
      </c>
      <c r="R266" s="29">
        <f t="shared" si="10"/>
        <v>8.1271162398573682E-2</v>
      </c>
      <c r="S266" s="29">
        <f t="shared" si="11"/>
        <v>7.1410216207324892E-2</v>
      </c>
      <c r="T266" s="29">
        <f t="shared" si="12"/>
        <v>6.0578614463910475E-2</v>
      </c>
      <c r="V266" s="225">
        <f t="shared" si="0"/>
        <v>60.00465011881959</v>
      </c>
      <c r="W266" s="225">
        <f t="shared" si="1"/>
        <v>57.54095632118316</v>
      </c>
      <c r="X266" s="225">
        <f t="shared" si="13"/>
        <v>51.67163845982882</v>
      </c>
      <c r="Y266" s="225">
        <f t="shared" si="14"/>
        <v>45.383782259099803</v>
      </c>
      <c r="Z266" s="56">
        <f t="shared" si="15"/>
        <v>-0.13887276473556576</v>
      </c>
      <c r="AA266" s="2"/>
      <c r="AB266" s="2"/>
    </row>
    <row r="267" spans="1:28">
      <c r="A267" s="107" t="s">
        <v>359</v>
      </c>
      <c r="B267" s="9">
        <f>B25</f>
        <v>110.38500000000001</v>
      </c>
      <c r="C267" s="9"/>
      <c r="D267" s="9">
        <f>B65</f>
        <v>129.03</v>
      </c>
      <c r="E267" s="29">
        <f t="shared" si="2"/>
        <v>0.16890881913303435</v>
      </c>
      <c r="F267" s="9">
        <f>B106</f>
        <v>118.52500000000001</v>
      </c>
      <c r="G267" s="29">
        <f t="shared" si="3"/>
        <v>7.3741903338315901E-2</v>
      </c>
      <c r="H267" s="9">
        <f>B150</f>
        <v>120.39500000000001</v>
      </c>
      <c r="I267" s="29">
        <f t="shared" si="4"/>
        <v>9.0682610861983107E-2</v>
      </c>
      <c r="J267" s="9">
        <f>B194</f>
        <v>98.526399999999995</v>
      </c>
      <c r="K267" s="29">
        <f t="shared" si="5"/>
        <v>-0.107429451465326</v>
      </c>
      <c r="L267" s="9">
        <f>B238</f>
        <v>73.068900000000014</v>
      </c>
      <c r="M267" s="29">
        <f t="shared" si="6"/>
        <v>-0.33805408343524929</v>
      </c>
      <c r="N267" s="29"/>
      <c r="O267" s="131">
        <f t="shared" si="7"/>
        <v>0.18843912281959624</v>
      </c>
      <c r="P267" s="131">
        <f t="shared" si="8"/>
        <v>0.19122346113130842</v>
      </c>
      <c r="Q267" s="29">
        <f t="shared" si="9"/>
        <v>0.17787535263666729</v>
      </c>
      <c r="R267" s="29">
        <f t="shared" si="10"/>
        <v>0.17757970230446968</v>
      </c>
      <c r="S267" s="29">
        <f t="shared" si="11"/>
        <v>0.12769131626369101</v>
      </c>
      <c r="T267" s="29">
        <f t="shared" si="12"/>
        <v>8.8175552239084257E-2</v>
      </c>
      <c r="V267" s="225">
        <f t="shared" si="0"/>
        <v>111.10462465388321</v>
      </c>
      <c r="W267" s="225">
        <f t="shared" si="1"/>
        <v>112.727964429227</v>
      </c>
      <c r="X267" s="225">
        <f t="shared" si="13"/>
        <v>112.90393670364956</v>
      </c>
      <c r="Y267" s="225">
        <f t="shared" si="14"/>
        <v>66.058626444460927</v>
      </c>
      <c r="Z267" s="56">
        <f t="shared" si="15"/>
        <v>1.6194753867101692E-2</v>
      </c>
      <c r="AA267" s="2"/>
      <c r="AB267" s="2"/>
    </row>
    <row r="268" spans="1:28">
      <c r="A268" s="2" t="s">
        <v>327</v>
      </c>
      <c r="B268" s="9">
        <f>B26</f>
        <v>60.775000000000006</v>
      </c>
      <c r="C268" s="9"/>
      <c r="D268" s="9">
        <f>B66</f>
        <v>73.7</v>
      </c>
      <c r="E268" s="29">
        <f t="shared" si="2"/>
        <v>0.21266968325791849</v>
      </c>
      <c r="F268" s="9">
        <f>B107</f>
        <v>73.81</v>
      </c>
      <c r="G268" s="29">
        <f t="shared" si="3"/>
        <v>0.21447963800904971</v>
      </c>
      <c r="H268" s="9">
        <f>B151</f>
        <v>72.820000000000007</v>
      </c>
      <c r="I268" s="29">
        <f t="shared" si="4"/>
        <v>0.1981900452488688</v>
      </c>
      <c r="J268" s="9">
        <f>B195</f>
        <v>78.033000000000001</v>
      </c>
      <c r="K268" s="29">
        <f t="shared" si="5"/>
        <v>0.28396544631838738</v>
      </c>
      <c r="L268" s="9">
        <f>B239</f>
        <v>82.835999999999999</v>
      </c>
      <c r="M268" s="29">
        <f t="shared" si="6"/>
        <v>0.36299465240641698</v>
      </c>
      <c r="N268" s="29"/>
      <c r="O268" s="29">
        <f t="shared" si="7"/>
        <v>0.10374949213535319</v>
      </c>
      <c r="P268" s="29">
        <f t="shared" si="8"/>
        <v>0.10922397183118214</v>
      </c>
      <c r="Q268" s="29">
        <f t="shared" si="9"/>
        <v>0.11076970915935383</v>
      </c>
      <c r="R268" s="29">
        <f t="shared" si="10"/>
        <v>0.10740773222983913</v>
      </c>
      <c r="S268" s="29">
        <f t="shared" si="11"/>
        <v>0.10113164067706321</v>
      </c>
      <c r="T268" s="29">
        <f t="shared" si="12"/>
        <v>9.9961954337300568E-2</v>
      </c>
      <c r="V268" s="225">
        <f t="shared" si="0"/>
        <v>61.171205900618311</v>
      </c>
      <c r="W268" s="225">
        <f t="shared" si="1"/>
        <v>70.199966711843445</v>
      </c>
      <c r="X268" s="225">
        <f t="shared" si="13"/>
        <v>68.289087343824576</v>
      </c>
      <c r="Y268" s="225">
        <f t="shared" si="14"/>
        <v>74.888665083959992</v>
      </c>
      <c r="Z268" s="56">
        <f t="shared" si="15"/>
        <v>0.1163599987675626</v>
      </c>
      <c r="AA268" s="2"/>
      <c r="AB268" s="2"/>
    </row>
    <row r="269" spans="1:28">
      <c r="A269" s="169" t="s">
        <v>503</v>
      </c>
      <c r="B269" s="280">
        <f>B267+B268</f>
        <v>171.16000000000003</v>
      </c>
      <c r="C269" s="280"/>
      <c r="D269" s="280">
        <f>D267+D268</f>
        <v>202.73000000000002</v>
      </c>
      <c r="E269" s="131">
        <f>(D269-B269)/B269</f>
        <v>0.18444730077120816</v>
      </c>
      <c r="F269" s="280">
        <f>F267+F268</f>
        <v>192.33500000000001</v>
      </c>
      <c r="G269" s="131">
        <f t="shared" si="3"/>
        <v>0.12371465295629808</v>
      </c>
      <c r="H269" s="280">
        <f>B152</f>
        <v>193.21500000000003</v>
      </c>
      <c r="I269" s="131">
        <f t="shared" si="4"/>
        <v>0.12885604113110541</v>
      </c>
      <c r="J269" s="280">
        <f>B196</f>
        <v>176.55939999999998</v>
      </c>
      <c r="K269" s="29">
        <f t="shared" si="5"/>
        <v>3.1545921944379274E-2</v>
      </c>
      <c r="L269" s="280">
        <f>B240</f>
        <v>155.9049</v>
      </c>
      <c r="M269" s="29">
        <f t="shared" si="6"/>
        <v>-8.9127716756251613E-2</v>
      </c>
      <c r="N269" s="131"/>
      <c r="O269" s="131">
        <f>B269/$B$274</f>
        <v>0.29218861495494941</v>
      </c>
      <c r="P269" s="131">
        <f>D269/$D$274</f>
        <v>0.3004474329624906</v>
      </c>
      <c r="Q269" s="131">
        <f t="shared" si="9"/>
        <v>0.28864506179602112</v>
      </c>
      <c r="R269" s="131">
        <f t="shared" si="10"/>
        <v>0.2849874345343088</v>
      </c>
      <c r="S269" s="29">
        <f t="shared" si="11"/>
        <v>0.22882295694075419</v>
      </c>
      <c r="T269" s="29">
        <f t="shared" si="12"/>
        <v>0.18813750657638481</v>
      </c>
      <c r="V269" s="225">
        <f t="shared" si="0"/>
        <v>172.27583055450154</v>
      </c>
      <c r="W269" s="225">
        <f t="shared" si="1"/>
        <v>182.92793114107045</v>
      </c>
      <c r="X269" s="225">
        <f t="shared" si="13"/>
        <v>181.19302404747415</v>
      </c>
      <c r="Y269" s="225">
        <f t="shared" si="14"/>
        <v>140.94729152842092</v>
      </c>
      <c r="Z269" s="56">
        <f t="shared" si="15"/>
        <v>5.1761140632850137E-2</v>
      </c>
      <c r="AA269" s="2"/>
      <c r="AB269" s="2"/>
    </row>
    <row r="270" spans="1:28">
      <c r="A270" s="169" t="s">
        <v>902</v>
      </c>
      <c r="B270" s="280"/>
      <c r="C270" s="280"/>
      <c r="D270" s="280"/>
      <c r="E270" s="131"/>
      <c r="F270" s="280"/>
      <c r="G270" s="131"/>
      <c r="H270" s="280"/>
      <c r="I270" s="131"/>
      <c r="J270" s="280">
        <f>B198</f>
        <v>98.7</v>
      </c>
      <c r="K270" s="29"/>
      <c r="L270" s="280">
        <f>B242</f>
        <v>157.5</v>
      </c>
      <c r="M270" s="29"/>
      <c r="N270" s="131"/>
      <c r="O270" s="131"/>
      <c r="P270" s="131"/>
      <c r="Q270" s="131"/>
      <c r="R270" s="131"/>
      <c r="S270" s="29">
        <f t="shared" si="11"/>
        <v>0.1279163038051355</v>
      </c>
      <c r="T270" s="29">
        <f t="shared" si="12"/>
        <v>0.19006238601724904</v>
      </c>
      <c r="V270" s="225"/>
      <c r="W270" s="225"/>
      <c r="X270" s="225"/>
      <c r="Y270" s="225">
        <f t="shared" si="14"/>
        <v>142.38935668940678</v>
      </c>
      <c r="Z270" s="56"/>
      <c r="AA270" s="2"/>
      <c r="AB270" s="2"/>
    </row>
    <row r="271" spans="1:28">
      <c r="A271" s="169" t="s">
        <v>1034</v>
      </c>
      <c r="B271" s="280">
        <f>SUM(B269:B270)</f>
        <v>171.16000000000003</v>
      </c>
      <c r="C271" s="280"/>
      <c r="D271" s="280">
        <f>SUM(D269:D270)</f>
        <v>202.73000000000002</v>
      </c>
      <c r="E271" s="131">
        <f>(D271-B271)/B271</f>
        <v>0.18444730077120816</v>
      </c>
      <c r="F271" s="280">
        <f>SUM(F269:F270)</f>
        <v>192.33500000000001</v>
      </c>
      <c r="G271" s="131">
        <f t="shared" si="3"/>
        <v>0.12371465295629808</v>
      </c>
      <c r="H271" s="280">
        <f>SUM(H269:H270)</f>
        <v>193.21500000000003</v>
      </c>
      <c r="I271" s="131">
        <f t="shared" si="4"/>
        <v>0.12885604113110541</v>
      </c>
      <c r="J271" s="280">
        <f>SUM(J269:J270)</f>
        <v>275.25939999999997</v>
      </c>
      <c r="K271" s="29">
        <f t="shared" si="5"/>
        <v>0.60819934564150457</v>
      </c>
      <c r="L271" s="280">
        <f>SUM(L269:L270)</f>
        <v>313.4049</v>
      </c>
      <c r="M271" s="29">
        <f t="shared" si="6"/>
        <v>0.83106391680299108</v>
      </c>
      <c r="N271" s="131"/>
      <c r="O271" s="131"/>
      <c r="P271" s="131"/>
      <c r="Q271" s="131"/>
      <c r="R271" s="131"/>
      <c r="S271" s="29">
        <f t="shared" si="11"/>
        <v>0.35673926074588969</v>
      </c>
      <c r="T271" s="29">
        <f t="shared" si="12"/>
        <v>0.37819989259363385</v>
      </c>
      <c r="V271" s="225">
        <f t="shared" ref="V271" si="16">(B271*1000000)/$V$261</f>
        <v>172.27583055450154</v>
      </c>
      <c r="W271" s="225">
        <f t="shared" ref="W271" si="17">(F271*1000000)/$W$261</f>
        <v>182.92793114107045</v>
      </c>
      <c r="X271" s="225">
        <f t="shared" ref="X271" si="18">(H271*1000000)/$X$261</f>
        <v>181.19302404747415</v>
      </c>
      <c r="Y271" s="225">
        <f t="shared" si="14"/>
        <v>283.3366482178277</v>
      </c>
      <c r="Z271" s="56">
        <f t="shared" si="15"/>
        <v>5.1761140632850137E-2</v>
      </c>
      <c r="AA271" s="2"/>
      <c r="AB271" s="2"/>
    </row>
    <row r="272" spans="1:28">
      <c r="A272" s="2" t="s">
        <v>369</v>
      </c>
      <c r="B272" s="9">
        <f>B30</f>
        <v>112.9</v>
      </c>
      <c r="C272" s="9"/>
      <c r="D272" s="9">
        <f>B70</f>
        <v>121.4</v>
      </c>
      <c r="E272" s="29">
        <f t="shared" si="2"/>
        <v>7.5287865367581933E-2</v>
      </c>
      <c r="F272" s="9">
        <f>B111</f>
        <v>121.1</v>
      </c>
      <c r="G272" s="29">
        <f t="shared" si="3"/>
        <v>7.2630646589902467E-2</v>
      </c>
      <c r="H272" s="9">
        <f>B155</f>
        <v>118.7</v>
      </c>
      <c r="I272" s="29">
        <f t="shared" si="4"/>
        <v>5.137289636846764E-2</v>
      </c>
      <c r="J272" s="9">
        <f>B203</f>
        <v>119.6</v>
      </c>
      <c r="K272" s="29">
        <f t="shared" si="5"/>
        <v>5.9344552701505654E-2</v>
      </c>
      <c r="L272" s="9">
        <f>B247</f>
        <v>119.2</v>
      </c>
      <c r="M272" s="29">
        <f t="shared" si="6"/>
        <v>5.580159433126658E-2</v>
      </c>
      <c r="N272" s="29"/>
      <c r="O272" s="29">
        <f t="shared" si="7"/>
        <v>0.1927324995817585</v>
      </c>
      <c r="P272" s="29">
        <f t="shared" si="8"/>
        <v>0.17991574193087534</v>
      </c>
      <c r="Q272" s="29">
        <f t="shared" si="9"/>
        <v>0.18173976126809033</v>
      </c>
      <c r="R272" s="29">
        <f t="shared" si="10"/>
        <v>0.17507961845209974</v>
      </c>
      <c r="S272" s="29">
        <f t="shared" si="11"/>
        <v>0.15500293753894839</v>
      </c>
      <c r="T272" s="29">
        <f t="shared" si="12"/>
        <v>0.14384404071908624</v>
      </c>
      <c r="V272" s="225">
        <f t="shared" si="0"/>
        <v>113.63602050480965</v>
      </c>
      <c r="W272" s="225">
        <f t="shared" si="1"/>
        <v>115.17702166107901</v>
      </c>
      <c r="X272" s="225">
        <f t="shared" si="13"/>
        <v>111.3144008199942</v>
      </c>
      <c r="Y272" s="225">
        <f t="shared" si="14"/>
        <v>107.76388138017326</v>
      </c>
      <c r="Z272" s="56">
        <f t="shared" si="15"/>
        <v>-2.0430314916890131E-2</v>
      </c>
      <c r="AA272" s="2"/>
      <c r="AB272" s="2"/>
    </row>
    <row r="273" spans="1:28">
      <c r="A273" s="2" t="s">
        <v>180</v>
      </c>
      <c r="B273" s="9">
        <f>B36</f>
        <v>92</v>
      </c>
      <c r="C273" s="9"/>
      <c r="D273" s="9">
        <f>B77</f>
        <v>105</v>
      </c>
      <c r="E273" s="29">
        <f t="shared" si="2"/>
        <v>0.14130434782608695</v>
      </c>
      <c r="F273" s="9">
        <f>B118</f>
        <v>109</v>
      </c>
      <c r="G273" s="29">
        <f t="shared" si="3"/>
        <v>0.18478260869565216</v>
      </c>
      <c r="H273" s="9">
        <f>B162</f>
        <v>116</v>
      </c>
      <c r="I273" s="29">
        <f t="shared" si="4"/>
        <v>0.2608695652173913</v>
      </c>
      <c r="J273" s="9">
        <f>B208</f>
        <v>121</v>
      </c>
      <c r="K273" s="29">
        <f t="shared" si="5"/>
        <v>0.31521739130434784</v>
      </c>
      <c r="L273" s="9">
        <f>B252</f>
        <v>137</v>
      </c>
      <c r="M273" s="29">
        <f t="shared" si="6"/>
        <v>0.4891304347826087</v>
      </c>
      <c r="N273" s="29"/>
      <c r="O273" s="29">
        <f t="shared" si="7"/>
        <v>0.15705394120037008</v>
      </c>
      <c r="P273" s="29">
        <f t="shared" si="8"/>
        <v>0.15561081468485921</v>
      </c>
      <c r="Q273" s="29">
        <f t="shared" si="9"/>
        <v>0.16358079255344218</v>
      </c>
      <c r="R273" s="29">
        <f t="shared" si="10"/>
        <v>0.17109718399699722</v>
      </c>
      <c r="S273" s="29">
        <f t="shared" si="11"/>
        <v>0.15681735319575882</v>
      </c>
      <c r="T273" s="29">
        <f t="shared" si="12"/>
        <v>0.1653241072023055</v>
      </c>
      <c r="V273" s="225">
        <f t="shared" si="0"/>
        <v>92.599768701882084</v>
      </c>
      <c r="W273" s="225">
        <f t="shared" si="1"/>
        <v>103.66883039684238</v>
      </c>
      <c r="X273" s="225">
        <f t="shared" si="13"/>
        <v>108.78239675753436</v>
      </c>
      <c r="Y273" s="225">
        <f t="shared" si="14"/>
        <v>123.8561388345951</v>
      </c>
      <c r="Z273" s="56">
        <f t="shared" si="15"/>
        <v>0.17475883884495449</v>
      </c>
      <c r="AA273" s="2"/>
      <c r="AB273" s="2"/>
    </row>
    <row r="274" spans="1:28">
      <c r="B274" s="280">
        <f>SUM(B263:B273)-(B269+B271)</f>
        <v>585.78600000000006</v>
      </c>
      <c r="C274" s="280"/>
      <c r="D274" s="280">
        <f>SUM(D263:D273)-(D269+D271)</f>
        <v>674.76029999999992</v>
      </c>
      <c r="E274" s="131">
        <f t="shared" si="2"/>
        <v>0.15188874435373984</v>
      </c>
      <c r="F274" s="280">
        <f>SUM(F263:F273)-(F269+F271)</f>
        <v>666.33739999999989</v>
      </c>
      <c r="G274" s="131">
        <f t="shared" si="3"/>
        <v>0.13750994390442897</v>
      </c>
      <c r="H274" s="280">
        <f>SUM(H263:H273)-(H269+H271)</f>
        <v>677.97725999999989</v>
      </c>
      <c r="I274" s="131">
        <f t="shared" si="4"/>
        <v>0.15738044268726092</v>
      </c>
      <c r="J274" s="280">
        <f>SUM(J263:J273)-(J269+J271)</f>
        <v>771.59827999999993</v>
      </c>
      <c r="K274" s="29">
        <f t="shared" si="5"/>
        <v>0.31720164018942049</v>
      </c>
      <c r="L274" s="280">
        <f>SUM(L263:L273)-(L269+L271)</f>
        <v>828.67527500000006</v>
      </c>
      <c r="M274" s="29">
        <f t="shared" si="6"/>
        <v>0.41463823819620133</v>
      </c>
      <c r="N274" s="131"/>
      <c r="O274" s="131">
        <f t="shared" si="7"/>
        <v>1</v>
      </c>
      <c r="P274" s="131">
        <f t="shared" si="8"/>
        <v>1</v>
      </c>
      <c r="Q274" s="131">
        <f t="shared" si="9"/>
        <v>1</v>
      </c>
      <c r="R274" s="131">
        <f t="shared" si="10"/>
        <v>1</v>
      </c>
      <c r="S274" s="29">
        <f t="shared" si="11"/>
        <v>1</v>
      </c>
      <c r="T274" s="29">
        <f t="shared" si="12"/>
        <v>1</v>
      </c>
      <c r="V274" s="225">
        <f t="shared" si="0"/>
        <v>589.60487074783373</v>
      </c>
      <c r="W274" s="225">
        <f t="shared" si="1"/>
        <v>633.74696245571477</v>
      </c>
      <c r="X274" s="225">
        <f t="shared" si="13"/>
        <v>635.79302836125873</v>
      </c>
      <c r="Y274" s="225">
        <f t="shared" si="14"/>
        <v>749.1716781693159</v>
      </c>
      <c r="Z274" s="56">
        <f t="shared" si="15"/>
        <v>7.8337476342150297E-2</v>
      </c>
      <c r="AA274" s="2"/>
      <c r="AB274" s="2"/>
    </row>
    <row r="275" spans="1:28">
      <c r="V275" s="225"/>
      <c r="W275" s="225"/>
      <c r="X275" s="225"/>
      <c r="Y275" s="225"/>
      <c r="Z275" s="56"/>
      <c r="AA275" s="2"/>
      <c r="AB275" s="2"/>
    </row>
    <row r="276" spans="1:28">
      <c r="E276" s="41" t="s">
        <v>181</v>
      </c>
      <c r="G276" s="41" t="s">
        <v>514</v>
      </c>
      <c r="H276" s="41"/>
      <c r="I276" s="2" t="s">
        <v>689</v>
      </c>
      <c r="J276" s="2"/>
      <c r="K276" s="307" t="s">
        <v>823</v>
      </c>
      <c r="L276" s="2"/>
      <c r="M276" s="307" t="s">
        <v>824</v>
      </c>
      <c r="N276" s="2"/>
      <c r="V276" s="225"/>
      <c r="W276" s="225"/>
      <c r="X276" s="225"/>
      <c r="Y276" s="225"/>
      <c r="Z276" s="56"/>
      <c r="AA276" s="2"/>
      <c r="AB276" s="2"/>
    </row>
    <row r="277" spans="1:28" ht="25.5">
      <c r="A277" s="308" t="s">
        <v>1032</v>
      </c>
      <c r="B277" s="9">
        <f>B269</f>
        <v>171.16000000000003</v>
      </c>
      <c r="D277" s="9">
        <f>D269</f>
        <v>202.73000000000002</v>
      </c>
      <c r="E277" s="29">
        <f t="shared" si="2"/>
        <v>0.18444730077120816</v>
      </c>
      <c r="F277" s="9">
        <f>F269</f>
        <v>192.33500000000001</v>
      </c>
      <c r="G277" s="29">
        <f>(F277-B277)/B277</f>
        <v>0.12371465295629808</v>
      </c>
      <c r="H277" s="9">
        <f>H269</f>
        <v>193.21500000000003</v>
      </c>
      <c r="I277" s="29">
        <f>(H277-B277)/B277</f>
        <v>0.12885604113110541</v>
      </c>
      <c r="J277" s="9">
        <f>J269+J270</f>
        <v>275.25939999999997</v>
      </c>
      <c r="K277" s="29">
        <f>(J277-B277)/B277</f>
        <v>0.60819934564150457</v>
      </c>
      <c r="L277" s="9">
        <f>L269+L270</f>
        <v>313.4049</v>
      </c>
      <c r="M277" s="29">
        <f>(L277-B277)/B277</f>
        <v>0.83106391680299108</v>
      </c>
      <c r="N277" s="29"/>
      <c r="V277" s="225">
        <f>(B277*1000000)/$V$261</f>
        <v>172.27583055450154</v>
      </c>
      <c r="W277" s="225">
        <f>(F277*1000000)/$W$261</f>
        <v>182.92793114107045</v>
      </c>
      <c r="X277" s="225">
        <f t="shared" si="13"/>
        <v>181.19302404747415</v>
      </c>
      <c r="Y277" s="225">
        <f t="shared" si="14"/>
        <v>283.3366482178277</v>
      </c>
      <c r="Z277" s="56">
        <f t="shared" si="15"/>
        <v>5.1761140632850137E-2</v>
      </c>
      <c r="AA277" s="2"/>
      <c r="AB277" s="2"/>
    </row>
    <row r="278" spans="1:28">
      <c r="A278" s="2" t="s">
        <v>373</v>
      </c>
      <c r="B278" s="9">
        <f>B274</f>
        <v>585.78600000000006</v>
      </c>
      <c r="D278" s="9">
        <f>D274</f>
        <v>674.76029999999992</v>
      </c>
      <c r="E278" s="29">
        <f t="shared" si="2"/>
        <v>0.15188874435373984</v>
      </c>
      <c r="F278" s="9">
        <f>F274</f>
        <v>666.33739999999989</v>
      </c>
      <c r="G278" s="29">
        <f>(F278-B278)/B278</f>
        <v>0.13750994390442897</v>
      </c>
      <c r="H278" s="9">
        <f>H274</f>
        <v>677.97725999999989</v>
      </c>
      <c r="I278" s="29">
        <f>(H278-B278)/B278</f>
        <v>0.15738044268726092</v>
      </c>
      <c r="J278" s="9">
        <f t="shared" ref="J278" si="19">J274</f>
        <v>771.59827999999993</v>
      </c>
      <c r="K278" s="29">
        <f t="shared" ref="K278:K279" si="20">(J278-B278)/B278</f>
        <v>0.31720164018942049</v>
      </c>
      <c r="L278" s="9">
        <f t="shared" ref="L278" si="21">L274</f>
        <v>828.67527500000006</v>
      </c>
      <c r="M278" s="29">
        <f t="shared" ref="M278:M279" si="22">(L278-B278)/B278</f>
        <v>0.41463823819620133</v>
      </c>
      <c r="N278" s="29"/>
      <c r="V278" s="225">
        <f>(B278*1000000)/$V$261</f>
        <v>589.60487074783373</v>
      </c>
      <c r="W278" s="225">
        <f>(F278*1000000)/$W$261</f>
        <v>633.74696245571477</v>
      </c>
      <c r="X278" s="225">
        <f t="shared" si="13"/>
        <v>635.79302836125873</v>
      </c>
      <c r="Y278" s="225">
        <f t="shared" si="14"/>
        <v>749.1716781693159</v>
      </c>
      <c r="Z278" s="56">
        <f t="shared" si="15"/>
        <v>7.8337476342150297E-2</v>
      </c>
      <c r="AA278" s="2"/>
      <c r="AB278" s="2"/>
    </row>
    <row r="279" spans="1:28" ht="25.5">
      <c r="A279" s="308" t="s">
        <v>1033</v>
      </c>
      <c r="B279" s="9">
        <f>B278-B277</f>
        <v>414.62600000000003</v>
      </c>
      <c r="D279" s="9">
        <f>D278-D277</f>
        <v>472.0302999999999</v>
      </c>
      <c r="E279" s="29">
        <f t="shared" si="2"/>
        <v>0.13844838480944238</v>
      </c>
      <c r="F279" s="9">
        <f>F278-F277</f>
        <v>474.00239999999985</v>
      </c>
      <c r="G279" s="29">
        <f>(F279-B279)/B279</f>
        <v>0.14320471943389901</v>
      </c>
      <c r="H279" s="9">
        <f>H278-H277</f>
        <v>484.76225999999986</v>
      </c>
      <c r="I279" s="29">
        <f>(H279-B279)/B279</f>
        <v>0.16915547987825127</v>
      </c>
      <c r="J279" s="9">
        <f t="shared" ref="J279" si="23">J278-J277</f>
        <v>496.33887999999996</v>
      </c>
      <c r="K279" s="29">
        <f t="shared" si="20"/>
        <v>0.19707611196596431</v>
      </c>
      <c r="L279" s="9">
        <f t="shared" ref="L279" si="24">L278-L277</f>
        <v>515.27037500000006</v>
      </c>
      <c r="M279" s="29">
        <f t="shared" si="22"/>
        <v>0.24273532050570881</v>
      </c>
      <c r="N279" s="29"/>
      <c r="V279" s="225">
        <f>(B279*1000000)/$V$261</f>
        <v>417.32904019333228</v>
      </c>
      <c r="W279" s="225">
        <f>(F279*1000000)/$W$261</f>
        <v>450.81903131464429</v>
      </c>
      <c r="X279" s="225">
        <f t="shared" si="13"/>
        <v>454.60000431378461</v>
      </c>
      <c r="Y279" s="225">
        <f t="shared" si="14"/>
        <v>465.83502995148825</v>
      </c>
      <c r="Z279" s="56">
        <f t="shared" si="15"/>
        <v>8.9308340735612723E-2</v>
      </c>
      <c r="AA279" s="2"/>
      <c r="AB279" s="2"/>
    </row>
    <row r="282" spans="1:28">
      <c r="A282" s="52" t="s">
        <v>441</v>
      </c>
    </row>
    <row r="283" spans="1:28">
      <c r="A283" s="103" t="s">
        <v>623</v>
      </c>
      <c r="B283" s="103"/>
      <c r="C283" s="103"/>
      <c r="D283" s="103"/>
    </row>
    <row r="284" spans="1:28">
      <c r="A284" s="106" t="s">
        <v>675</v>
      </c>
      <c r="B284" s="39"/>
      <c r="C284" s="39"/>
      <c r="D284" s="39"/>
      <c r="E284" s="39"/>
    </row>
    <row r="285" spans="1:28">
      <c r="A285" s="52" t="s">
        <v>760</v>
      </c>
    </row>
    <row r="286" spans="1:28">
      <c r="A286" s="52" t="s">
        <v>772</v>
      </c>
    </row>
    <row r="287" spans="1:28">
      <c r="A287" s="52" t="s">
        <v>790</v>
      </c>
    </row>
    <row r="288" spans="1:28">
      <c r="A288" s="149" t="s">
        <v>821</v>
      </c>
      <c r="B288" s="136"/>
      <c r="C288" s="136"/>
      <c r="D288" s="136"/>
    </row>
  </sheetData>
  <mergeCells count="2">
    <mergeCell ref="E141:P141"/>
    <mergeCell ref="Z261:AB261"/>
  </mergeCells>
  <hyperlinks>
    <hyperlink ref="V18" r:id="rId1"/>
    <hyperlink ref="V59" r:id="rId2"/>
    <hyperlink ref="V25" r:id="rId3"/>
    <hyperlink ref="U100" r:id="rId4"/>
    <hyperlink ref="U94" r:id="rId5"/>
    <hyperlink ref="U155" r:id="rId6"/>
  </hyperlinks>
  <pageMargins left="0.70866141732283472" right="0.70866141732283472" top="0.74803149606299213" bottom="0.74803149606299213" header="0.31496062992125984" footer="0.31496062992125984"/>
  <pageSetup scale="85" orientation="landscape" verticalDpi="0" r:id="rId7"/>
</worksheet>
</file>

<file path=xl/worksheets/sheet38.xml><?xml version="1.0" encoding="utf-8"?>
<worksheet xmlns="http://schemas.openxmlformats.org/spreadsheetml/2006/main" xmlns:r="http://schemas.openxmlformats.org/officeDocument/2006/relationships">
  <sheetPr>
    <tabColor rgb="FFFFC000"/>
  </sheetPr>
  <dimension ref="A1:E17"/>
  <sheetViews>
    <sheetView workbookViewId="0">
      <selection activeCell="P22" sqref="P22:P23"/>
    </sheetView>
  </sheetViews>
  <sheetFormatPr defaultRowHeight="12.75"/>
  <sheetData>
    <row r="1" spans="1:5" ht="15.75">
      <c r="A1" s="4" t="s">
        <v>622</v>
      </c>
      <c r="B1" s="160"/>
      <c r="C1" s="4"/>
      <c r="D1" s="4"/>
      <c r="E1" s="4"/>
    </row>
    <row r="2" spans="1:5" ht="15.75">
      <c r="A2" s="4"/>
      <c r="B2" s="160"/>
      <c r="C2" s="4"/>
      <c r="D2" s="4"/>
      <c r="E2" s="4"/>
    </row>
    <row r="3" spans="1:5">
      <c r="B3" s="166" t="s">
        <v>488</v>
      </c>
      <c r="C3" s="166" t="s">
        <v>621</v>
      </c>
    </row>
    <row r="4" spans="1:5">
      <c r="A4" t="s">
        <v>415</v>
      </c>
      <c r="B4" s="9">
        <f>NFLD!B83</f>
        <v>415.45434999999998</v>
      </c>
      <c r="C4" s="9">
        <f>NFLD!B124</f>
        <v>430.56051000000002</v>
      </c>
    </row>
    <row r="5" spans="1:5">
      <c r="A5" t="s">
        <v>29</v>
      </c>
      <c r="B5" s="9">
        <f>PEI!B81</f>
        <v>116.7131</v>
      </c>
      <c r="C5" s="9">
        <f>PEI!B123</f>
        <v>122.82069000000001</v>
      </c>
    </row>
    <row r="6" spans="1:5">
      <c r="A6" t="s">
        <v>30</v>
      </c>
      <c r="B6" s="9">
        <f>NS!B81</f>
        <v>921.33299999999997</v>
      </c>
      <c r="C6" s="9">
        <f>NS!B124</f>
        <v>962.34360000000004</v>
      </c>
    </row>
    <row r="7" spans="1:5">
      <c r="A7" t="s">
        <v>31</v>
      </c>
      <c r="B7" s="9">
        <f>NB!B79</f>
        <v>615.58400000000006</v>
      </c>
      <c r="C7" s="9">
        <f>NB!B120</f>
        <v>645.25240000000008</v>
      </c>
    </row>
    <row r="8" spans="1:5">
      <c r="A8" t="s">
        <v>416</v>
      </c>
      <c r="B8" s="9">
        <f>QUE!B82</f>
        <v>5678.2804014735975</v>
      </c>
      <c r="C8" s="9">
        <f>QUE!B125</f>
        <v>5771.867400000001</v>
      </c>
    </row>
    <row r="9" spans="1:5">
      <c r="A9" t="s">
        <v>485</v>
      </c>
      <c r="B9" s="9">
        <f>'ONT Disability details 09-10'!B41</f>
        <v>11651.787199999999</v>
      </c>
      <c r="C9" s="9">
        <f>'ONT input 09-10 &amp; 13-14 charts'!G40</f>
        <v>12018.4452</v>
      </c>
    </row>
    <row r="10" spans="1:5">
      <c r="A10" t="s">
        <v>34</v>
      </c>
      <c r="B10" s="9">
        <f>Manitoba!B79</f>
        <v>846.17000000000007</v>
      </c>
      <c r="C10" s="9">
        <f>Manitoba!B121</f>
        <v>874.45439999999996</v>
      </c>
    </row>
    <row r="11" spans="1:5">
      <c r="A11" t="s">
        <v>417</v>
      </c>
      <c r="B11" s="9">
        <f>SASK!B79</f>
        <v>674.76030000000003</v>
      </c>
      <c r="C11" s="9">
        <f>SASK!B120</f>
        <v>666.3374</v>
      </c>
    </row>
    <row r="12" spans="1:5">
      <c r="A12" t="s">
        <v>486</v>
      </c>
      <c r="B12" s="9">
        <f>Alberta!B84</f>
        <v>2433.0662999999995</v>
      </c>
      <c r="C12" s="9">
        <f>Alberta!B126</f>
        <v>2568.9939999999997</v>
      </c>
    </row>
    <row r="13" spans="1:5">
      <c r="A13" t="s">
        <v>36</v>
      </c>
      <c r="B13" s="9">
        <f>BC!B81</f>
        <v>3672.3404</v>
      </c>
      <c r="C13" s="9">
        <f>BC!B122</f>
        <v>3806.1531999999997</v>
      </c>
    </row>
    <row r="14" spans="1:5">
      <c r="B14" s="174">
        <f>SUM(B4:B13)</f>
        <v>27025.489051473596</v>
      </c>
      <c r="C14" s="174">
        <f>SUM(C4:C13)</f>
        <v>27867.228800000001</v>
      </c>
    </row>
    <row r="15" spans="1:5">
      <c r="B15" s="9"/>
      <c r="C15" s="8"/>
    </row>
    <row r="16" spans="1:5">
      <c r="A16" s="2" t="s">
        <v>487</v>
      </c>
      <c r="B16" s="174">
        <f>'CAN Disability details 09-10'!B41</f>
        <v>27750.4925</v>
      </c>
      <c r="C16" s="174">
        <f>'CAN Disability details 10-11'!B41</f>
        <v>28638.161975308642</v>
      </c>
      <c r="D16" t="s">
        <v>668</v>
      </c>
    </row>
    <row r="17" spans="4:4">
      <c r="D17" t="s">
        <v>507</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0000"/>
  </sheetPr>
  <dimension ref="A1:E13"/>
  <sheetViews>
    <sheetView workbookViewId="0">
      <selection activeCell="A3" sqref="A3:E13"/>
    </sheetView>
  </sheetViews>
  <sheetFormatPr defaultRowHeight="12.75"/>
  <sheetData>
    <row r="1" spans="1:5">
      <c r="A1" t="s">
        <v>511</v>
      </c>
    </row>
    <row r="3" spans="1:5">
      <c r="B3" t="s">
        <v>181</v>
      </c>
      <c r="C3" t="s">
        <v>514</v>
      </c>
      <c r="D3" s="52" t="s">
        <v>689</v>
      </c>
      <c r="E3" s="52" t="s">
        <v>824</v>
      </c>
    </row>
    <row r="4" spans="1:5">
      <c r="A4" s="29" t="s">
        <v>508</v>
      </c>
      <c r="B4" s="29">
        <f>NFLD!E266</f>
        <v>4.0091944141176276E-2</v>
      </c>
      <c r="C4" s="29">
        <f>NFLD!G272</f>
        <v>6.7124738946351389E-2</v>
      </c>
      <c r="D4" s="29">
        <f>NFLD!I266</f>
        <v>8.0870521194322739E-2</v>
      </c>
      <c r="E4" s="29">
        <f>NFLD!M272</f>
        <v>7.8628731307797864E-2</v>
      </c>
    </row>
    <row r="5" spans="1:5">
      <c r="A5" s="29" t="s">
        <v>29</v>
      </c>
      <c r="B5" s="29">
        <f>PEI!E271</f>
        <v>7.8111035641511603E-2</v>
      </c>
      <c r="C5" s="29">
        <f>PEI!G271</f>
        <v>0.13480141565080603</v>
      </c>
      <c r="D5" s="29">
        <f>PEI!I271</f>
        <v>0.25606835162478114</v>
      </c>
      <c r="E5" s="29">
        <f>PEI!M271</f>
        <v>0.30284612109729175</v>
      </c>
    </row>
    <row r="6" spans="1:5">
      <c r="A6" s="29" t="s">
        <v>30</v>
      </c>
      <c r="B6" s="29">
        <f>NS!E278</f>
        <v>1.545778834720578E-2</v>
      </c>
      <c r="C6" s="29">
        <f>NS!G278</f>
        <v>5.0717399920729114E-2</v>
      </c>
      <c r="D6" s="29">
        <f>NS!I278</f>
        <v>0.10352754657154191</v>
      </c>
      <c r="E6" s="29">
        <f>NS!M278</f>
        <v>0.22517104457175774</v>
      </c>
    </row>
    <row r="7" spans="1:5">
      <c r="A7" s="29" t="s">
        <v>31</v>
      </c>
      <c r="B7" s="29">
        <f>NB!E266</f>
        <v>0.13342989046800044</v>
      </c>
      <c r="C7" s="29">
        <f>NB!G266</f>
        <v>0.14173259708518141</v>
      </c>
      <c r="D7" s="29">
        <f>NB!I266</f>
        <v>0.14948854892731053</v>
      </c>
      <c r="E7" s="29">
        <f>NB!M266</f>
        <v>0.22167683533991134</v>
      </c>
    </row>
    <row r="8" spans="1:5">
      <c r="A8" s="29" t="s">
        <v>416</v>
      </c>
      <c r="B8" s="29">
        <f>QUE!E278</f>
        <v>8.1098010347137733E-2</v>
      </c>
      <c r="C8" s="29">
        <f>QUE!G278</f>
        <v>0.10566886937600195</v>
      </c>
      <c r="D8" s="29">
        <f>QUE!I278</f>
        <v>0.11605136361561207</v>
      </c>
      <c r="E8" s="29">
        <f>QUE!M278</f>
        <v>0.14726472113386821</v>
      </c>
    </row>
    <row r="9" spans="1:5">
      <c r="A9" s="29" t="s">
        <v>509</v>
      </c>
      <c r="B9" s="29">
        <f>'CAN &amp; ON input to 2013-14'!E61</f>
        <v>0.34964607955778004</v>
      </c>
      <c r="C9" s="29">
        <f>'ONT input 09-10 &amp; 13-14 charts'!C48</f>
        <v>0.44680346769722729</v>
      </c>
      <c r="D9" s="29">
        <f>'ONT input 09-10 &amp; 13-14 charts'!D48</f>
        <v>0.55228662333384204</v>
      </c>
      <c r="E9" s="29">
        <f>'ONT input 09-10 &amp; 13-14 charts'!F48</f>
        <v>0.70416308461149069</v>
      </c>
    </row>
    <row r="10" spans="1:5">
      <c r="A10" s="29" t="s">
        <v>510</v>
      </c>
      <c r="B10" s="29">
        <f>Manitoba!E269</f>
        <v>0.17281498909922952</v>
      </c>
      <c r="C10" s="29">
        <f>Manitoba!D275</f>
        <v>0.23815485569970005</v>
      </c>
      <c r="D10" s="29">
        <f>Manitoba!F275</f>
        <v>0.28490944805405061</v>
      </c>
      <c r="E10" s="29">
        <f>Manitoba!H275</f>
        <v>0.34300515897856543</v>
      </c>
    </row>
    <row r="11" spans="1:5">
      <c r="A11" s="29" t="s">
        <v>417</v>
      </c>
      <c r="B11" s="29">
        <f>SASK!E277</f>
        <v>0.18444730077120816</v>
      </c>
      <c r="C11" s="29">
        <f>SASK!G277</f>
        <v>0.12371465295629808</v>
      </c>
      <c r="D11" s="29">
        <f>SASK!I277</f>
        <v>0.12885604113110541</v>
      </c>
      <c r="E11" s="29">
        <f>SASK!M277</f>
        <v>0.83106391680299108</v>
      </c>
    </row>
    <row r="12" spans="1:5">
      <c r="A12" s="29" t="s">
        <v>392</v>
      </c>
      <c r="B12" s="29">
        <f>Alberta!E275</f>
        <v>0.46023705210452198</v>
      </c>
      <c r="C12" s="29">
        <f>Alberta!G282</f>
        <v>0.54074088562040357</v>
      </c>
      <c r="D12" s="29">
        <f>Alberta!I282</f>
        <v>0.64020693162259423</v>
      </c>
      <c r="E12" s="29">
        <f>Alberta!M282</f>
        <v>1.2569629166014709</v>
      </c>
    </row>
    <row r="13" spans="1:5">
      <c r="A13" s="29" t="s">
        <v>36</v>
      </c>
      <c r="B13" s="29">
        <f>BC!E267</f>
        <v>0.25279100508034574</v>
      </c>
      <c r="C13" s="29">
        <f>BC!G267</f>
        <v>0.32571546877737251</v>
      </c>
      <c r="D13" s="29">
        <f>BC!I267</f>
        <v>0.39942029908744869</v>
      </c>
      <c r="E13" s="29">
        <f>BC!M267</f>
        <v>0.54149798538007021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0000"/>
  </sheetPr>
  <dimension ref="A1:U99"/>
  <sheetViews>
    <sheetView topLeftCell="A13" workbookViewId="0">
      <selection activeCell="B42" sqref="B42"/>
    </sheetView>
  </sheetViews>
  <sheetFormatPr defaultRowHeight="12.75"/>
  <cols>
    <col min="1" max="1" width="39.28515625" customWidth="1"/>
    <col min="2" max="2" width="10.7109375" customWidth="1"/>
    <col min="3" max="3" width="2.7109375" customWidth="1"/>
    <col min="4" max="4" width="16.7109375" customWidth="1"/>
    <col min="13" max="13" width="2.7109375" customWidth="1"/>
  </cols>
  <sheetData>
    <row r="1" spans="1:21">
      <c r="B1" s="284" t="s">
        <v>171</v>
      </c>
      <c r="C1" s="284"/>
    </row>
    <row r="2" spans="1:21">
      <c r="B2" s="284" t="s">
        <v>823</v>
      </c>
      <c r="C2" s="284"/>
    </row>
    <row r="3" spans="1:21">
      <c r="B3" s="284" t="s">
        <v>16</v>
      </c>
      <c r="C3" s="284"/>
      <c r="E3" s="2" t="s">
        <v>59</v>
      </c>
      <c r="N3" s="2" t="s">
        <v>92</v>
      </c>
    </row>
    <row r="4" spans="1:21">
      <c r="A4" s="2" t="s">
        <v>11</v>
      </c>
      <c r="B4" s="2"/>
    </row>
    <row r="6" spans="1:21">
      <c r="A6" t="s">
        <v>0</v>
      </c>
      <c r="B6" s="9">
        <v>690</v>
      </c>
      <c r="C6" s="46"/>
      <c r="D6" s="281" t="s">
        <v>869</v>
      </c>
      <c r="E6" t="s">
        <v>811</v>
      </c>
      <c r="N6" s="110" t="s">
        <v>810</v>
      </c>
      <c r="O6" s="103"/>
      <c r="P6" s="103"/>
      <c r="Q6" s="103"/>
      <c r="R6" s="103"/>
      <c r="S6" s="103"/>
      <c r="T6" s="103"/>
      <c r="U6" s="103"/>
    </row>
    <row r="7" spans="1:21">
      <c r="A7" t="s">
        <v>1</v>
      </c>
      <c r="B7" s="9">
        <v>1200</v>
      </c>
      <c r="C7" s="46"/>
      <c r="D7" s="281" t="s">
        <v>869</v>
      </c>
      <c r="E7" t="s">
        <v>811</v>
      </c>
      <c r="I7" t="s">
        <v>93</v>
      </c>
      <c r="N7" s="103" t="s">
        <v>752</v>
      </c>
      <c r="O7" s="103"/>
      <c r="P7" s="103"/>
      <c r="Q7" s="103"/>
      <c r="R7" s="103"/>
      <c r="S7" s="103"/>
      <c r="T7" s="103"/>
      <c r="U7" s="103"/>
    </row>
    <row r="8" spans="1:21">
      <c r="A8" t="s">
        <v>14</v>
      </c>
      <c r="B8" s="9">
        <v>105</v>
      </c>
      <c r="C8" s="45"/>
      <c r="D8" s="281" t="s">
        <v>869</v>
      </c>
      <c r="E8" t="s">
        <v>811</v>
      </c>
      <c r="N8" s="103"/>
      <c r="O8" s="103"/>
      <c r="P8" s="103"/>
      <c r="Q8" s="103"/>
      <c r="R8" s="103"/>
      <c r="S8" s="103"/>
      <c r="T8" s="103"/>
      <c r="U8" s="103"/>
    </row>
    <row r="9" spans="1:21">
      <c r="A9" t="s">
        <v>2</v>
      </c>
      <c r="B9" s="9">
        <v>5</v>
      </c>
      <c r="C9" s="45"/>
      <c r="D9" s="281" t="s">
        <v>869</v>
      </c>
      <c r="E9" t="s">
        <v>811</v>
      </c>
      <c r="N9" s="103"/>
      <c r="O9" s="103"/>
      <c r="P9" s="103"/>
      <c r="Q9" s="103"/>
      <c r="R9" s="103"/>
      <c r="S9" s="103"/>
      <c r="T9" s="103"/>
      <c r="U9" s="103"/>
    </row>
    <row r="10" spans="1:21">
      <c r="A10" s="52" t="s">
        <v>273</v>
      </c>
      <c r="B10" s="25"/>
      <c r="C10" s="45"/>
      <c r="D10" s="281" t="s">
        <v>869</v>
      </c>
      <c r="E10" t="s">
        <v>811</v>
      </c>
      <c r="N10" s="103"/>
      <c r="O10" s="103"/>
      <c r="P10" s="103"/>
      <c r="Q10" s="103"/>
      <c r="R10" s="103"/>
      <c r="S10" s="103"/>
      <c r="T10" s="103"/>
      <c r="U10" s="103"/>
    </row>
    <row r="11" spans="1:21">
      <c r="A11" t="s">
        <v>3</v>
      </c>
      <c r="B11" s="25">
        <v>140</v>
      </c>
      <c r="C11" s="46"/>
      <c r="D11" s="281" t="s">
        <v>869</v>
      </c>
      <c r="E11" t="s">
        <v>811</v>
      </c>
      <c r="N11" s="103"/>
      <c r="O11" s="103"/>
      <c r="P11" s="103"/>
      <c r="Q11" s="103"/>
      <c r="R11" s="103"/>
      <c r="S11" s="103"/>
      <c r="T11" s="103"/>
      <c r="U11" s="103"/>
    </row>
    <row r="12" spans="1:21">
      <c r="A12" t="s">
        <v>15</v>
      </c>
      <c r="B12" s="9">
        <f>'CAN Disability details 10-11'!B12*1.2</f>
        <v>264.48</v>
      </c>
      <c r="C12" s="46"/>
      <c r="D12" s="281" t="s">
        <v>869</v>
      </c>
      <c r="E12" s="248" t="s">
        <v>901</v>
      </c>
      <c r="F12" s="249"/>
      <c r="G12" s="249"/>
      <c r="H12" s="249"/>
      <c r="I12" s="30"/>
      <c r="J12" s="30"/>
      <c r="K12" s="30"/>
      <c r="L12" s="171"/>
      <c r="M12" s="171"/>
      <c r="N12" s="110"/>
      <c r="O12" s="103"/>
      <c r="P12" s="103"/>
      <c r="Q12" s="103"/>
      <c r="R12" s="103"/>
      <c r="S12" s="103"/>
      <c r="T12" s="103"/>
      <c r="U12" s="103"/>
    </row>
    <row r="13" spans="1:21">
      <c r="A13" s="3" t="s">
        <v>24</v>
      </c>
      <c r="B13" s="21">
        <f>SUM(B6:B12)</f>
        <v>2404.48</v>
      </c>
      <c r="C13" s="104"/>
      <c r="D13" s="285"/>
      <c r="E13" s="6"/>
      <c r="L13" s="111"/>
      <c r="M13" s="111"/>
      <c r="N13" s="103"/>
      <c r="O13" s="103"/>
      <c r="P13" s="103"/>
      <c r="Q13" s="103"/>
      <c r="R13" s="103"/>
      <c r="S13" s="103"/>
      <c r="T13" s="103"/>
      <c r="U13" s="103"/>
    </row>
    <row r="14" spans="1:21">
      <c r="B14" s="9"/>
      <c r="C14" s="9"/>
      <c r="D14" s="285"/>
      <c r="L14" s="29"/>
      <c r="M14" s="29"/>
      <c r="N14" s="103"/>
      <c r="O14" s="103"/>
      <c r="P14" s="103"/>
      <c r="Q14" s="103"/>
      <c r="R14" s="103"/>
      <c r="S14" s="103"/>
      <c r="T14" s="103"/>
      <c r="U14" s="103"/>
    </row>
    <row r="15" spans="1:21">
      <c r="A15" s="2" t="s">
        <v>4</v>
      </c>
      <c r="B15" s="8"/>
      <c r="C15" s="9"/>
      <c r="D15" s="285"/>
      <c r="L15" s="29"/>
      <c r="M15" s="29"/>
      <c r="N15" s="103"/>
      <c r="O15" s="103"/>
      <c r="P15" s="103"/>
      <c r="Q15" s="103"/>
      <c r="R15" s="103"/>
      <c r="S15" s="103"/>
      <c r="T15" s="103"/>
      <c r="U15" s="103"/>
    </row>
    <row r="16" spans="1:21">
      <c r="A16" t="s">
        <v>5</v>
      </c>
      <c r="B16" s="9">
        <v>3948</v>
      </c>
      <c r="C16" s="9"/>
      <c r="D16" s="285"/>
      <c r="E16" s="52" t="s">
        <v>747</v>
      </c>
      <c r="F16" s="30"/>
      <c r="G16" s="30"/>
      <c r="H16" s="30"/>
      <c r="I16" s="30"/>
      <c r="J16" s="30"/>
      <c r="K16" s="30"/>
      <c r="L16" s="172"/>
      <c r="M16" s="172"/>
      <c r="N16" s="103" t="s">
        <v>693</v>
      </c>
      <c r="O16" s="103"/>
      <c r="P16" s="103"/>
      <c r="Q16" s="103"/>
      <c r="R16" s="103"/>
      <c r="S16" s="103"/>
      <c r="T16" s="103"/>
      <c r="U16" s="103"/>
    </row>
    <row r="17" spans="1:21" ht="24.75" customHeight="1">
      <c r="A17" t="s">
        <v>69</v>
      </c>
      <c r="B17" s="9">
        <v>779.1</v>
      </c>
      <c r="C17" s="9"/>
      <c r="D17" s="285"/>
      <c r="E17" s="321" t="s">
        <v>748</v>
      </c>
      <c r="F17" s="321"/>
      <c r="G17" s="321"/>
      <c r="H17" s="321"/>
      <c r="I17" s="321"/>
      <c r="J17" s="321"/>
      <c r="K17" s="321"/>
      <c r="L17" s="172"/>
      <c r="M17" s="172"/>
      <c r="N17" s="103" t="s">
        <v>693</v>
      </c>
      <c r="O17" s="103"/>
      <c r="P17" s="103"/>
      <c r="Q17" s="103"/>
      <c r="R17" s="103"/>
      <c r="S17" s="103"/>
      <c r="T17" s="103"/>
      <c r="U17" s="103"/>
    </row>
    <row r="18" spans="1:21">
      <c r="A18" t="s">
        <v>6</v>
      </c>
      <c r="B18" s="9">
        <v>1191</v>
      </c>
      <c r="C18" s="9"/>
      <c r="D18" s="285"/>
      <c r="E18" s="120" t="s">
        <v>694</v>
      </c>
      <c r="F18" s="103"/>
      <c r="G18" s="103"/>
      <c r="H18" s="103"/>
      <c r="I18" s="103"/>
      <c r="J18" s="103"/>
      <c r="K18" s="103"/>
      <c r="L18" s="111"/>
      <c r="M18" s="111" t="s">
        <v>518</v>
      </c>
      <c r="N18" s="110" t="s">
        <v>947</v>
      </c>
      <c r="O18" s="103"/>
      <c r="P18" s="103"/>
      <c r="Q18" s="103"/>
      <c r="R18" s="103"/>
      <c r="S18" s="103"/>
      <c r="T18" s="103"/>
      <c r="U18" s="103"/>
    </row>
    <row r="19" spans="1:21">
      <c r="A19" s="3" t="s">
        <v>24</v>
      </c>
      <c r="B19" s="21">
        <f>SUM(B16:B18)</f>
        <v>5918.1</v>
      </c>
      <c r="C19" s="21"/>
      <c r="D19" s="285"/>
      <c r="L19" s="111"/>
      <c r="M19" s="111"/>
      <c r="N19" s="103"/>
      <c r="O19" s="103"/>
      <c r="P19" s="103"/>
      <c r="Q19" s="103"/>
      <c r="R19" s="103"/>
      <c r="S19" s="103"/>
      <c r="T19" s="103"/>
      <c r="U19" s="103"/>
    </row>
    <row r="20" spans="1:21">
      <c r="B20" s="9"/>
      <c r="C20" s="9"/>
      <c r="D20" s="285"/>
      <c r="L20" s="29"/>
      <c r="M20" s="29"/>
      <c r="N20" s="103"/>
      <c r="O20" s="103"/>
      <c r="P20" s="103"/>
      <c r="Q20" s="103"/>
      <c r="R20" s="103"/>
      <c r="S20" s="103"/>
      <c r="T20" s="103"/>
      <c r="U20" s="103"/>
    </row>
    <row r="21" spans="1:21">
      <c r="A21" s="2" t="s">
        <v>99</v>
      </c>
      <c r="B21" s="8"/>
      <c r="C21" s="9"/>
      <c r="D21" s="285"/>
      <c r="L21" s="29"/>
      <c r="M21" s="29"/>
      <c r="N21" s="103"/>
      <c r="O21" s="103"/>
      <c r="P21" s="103"/>
      <c r="Q21" s="103"/>
      <c r="R21" s="103"/>
      <c r="S21" s="103"/>
      <c r="T21" s="103"/>
      <c r="U21" s="103"/>
    </row>
    <row r="22" spans="1:21">
      <c r="A22" t="s">
        <v>100</v>
      </c>
      <c r="B22" s="9">
        <v>1634.6</v>
      </c>
      <c r="C22" s="45"/>
      <c r="D22" s="285"/>
      <c r="E22" s="52" t="s">
        <v>696</v>
      </c>
      <c r="L22" s="29"/>
      <c r="M22" s="29"/>
      <c r="N22" s="110" t="s">
        <v>695</v>
      </c>
      <c r="O22" s="103"/>
      <c r="P22" s="103"/>
      <c r="Q22" s="103"/>
      <c r="R22" s="103"/>
      <c r="S22" s="103"/>
      <c r="T22" s="103"/>
      <c r="U22" s="103"/>
    </row>
    <row r="23" spans="1:21">
      <c r="A23" t="s">
        <v>709</v>
      </c>
      <c r="B23" s="9">
        <v>427.6</v>
      </c>
      <c r="C23" s="45"/>
      <c r="D23" s="285"/>
      <c r="E23" s="52" t="s">
        <v>749</v>
      </c>
      <c r="L23" s="29"/>
      <c r="M23" s="29"/>
      <c r="N23" s="110"/>
      <c r="O23" s="103"/>
      <c r="P23" s="103"/>
      <c r="Q23" s="103"/>
      <c r="R23" s="103"/>
      <c r="S23" s="103"/>
      <c r="T23" s="103"/>
      <c r="U23" s="103"/>
    </row>
    <row r="24" spans="1:21">
      <c r="A24" s="3" t="s">
        <v>24</v>
      </c>
      <c r="B24" s="21">
        <f>SUM(B22:B23)</f>
        <v>2062.1999999999998</v>
      </c>
      <c r="C24" s="21"/>
      <c r="D24" s="285"/>
      <c r="L24" s="111"/>
      <c r="M24" s="111"/>
      <c r="N24" s="103"/>
      <c r="O24" s="103"/>
      <c r="P24" s="103"/>
      <c r="Q24" s="103"/>
      <c r="R24" s="103"/>
      <c r="S24" s="103"/>
      <c r="T24" s="103"/>
      <c r="U24" s="103"/>
    </row>
    <row r="25" spans="1:21">
      <c r="B25" s="9"/>
      <c r="C25" s="9"/>
      <c r="D25" s="285"/>
      <c r="L25" s="29"/>
      <c r="M25" s="29"/>
      <c r="N25" s="103"/>
      <c r="O25" s="103"/>
      <c r="P25" s="103"/>
      <c r="Q25" s="103"/>
      <c r="R25" s="103"/>
      <c r="S25" s="103"/>
      <c r="T25" s="103"/>
      <c r="U25" s="103"/>
    </row>
    <row r="26" spans="1:21">
      <c r="A26" s="2" t="s">
        <v>18</v>
      </c>
      <c r="B26" s="8"/>
      <c r="C26" s="9"/>
      <c r="D26" s="285"/>
      <c r="J26" s="9"/>
      <c r="L26" s="29"/>
      <c r="M26" s="29"/>
      <c r="N26" s="103"/>
      <c r="O26" s="103"/>
      <c r="P26" s="103"/>
      <c r="Q26" s="103"/>
      <c r="R26" s="103"/>
      <c r="S26" s="103"/>
      <c r="T26" s="103"/>
      <c r="U26" s="103"/>
    </row>
    <row r="27" spans="1:21">
      <c r="A27" t="s">
        <v>17</v>
      </c>
      <c r="B27" s="9">
        <f>'SA $ by prov 12-13'!B58</f>
        <v>8204.9533986013994</v>
      </c>
      <c r="C27" s="46"/>
      <c r="D27" s="243"/>
      <c r="E27" s="52" t="s">
        <v>945</v>
      </c>
      <c r="F27" s="30"/>
      <c r="G27" s="30"/>
      <c r="H27" s="30"/>
      <c r="I27" s="30"/>
      <c r="J27" s="30"/>
      <c r="K27" s="30"/>
      <c r="L27" s="172"/>
      <c r="M27" s="172"/>
      <c r="N27" s="120" t="s">
        <v>946</v>
      </c>
      <c r="O27" s="103"/>
      <c r="P27" s="103"/>
      <c r="Q27" s="103"/>
      <c r="R27" s="103"/>
      <c r="S27" s="103"/>
      <c r="T27" s="103"/>
      <c r="U27" s="103"/>
    </row>
    <row r="28" spans="1:21">
      <c r="A28" t="s">
        <v>12</v>
      </c>
      <c r="B28" s="9">
        <f>'SA $ by prov 12-13'!B59</f>
        <v>490.65599999999995</v>
      </c>
      <c r="C28" s="46" t="s">
        <v>437</v>
      </c>
      <c r="D28" s="243"/>
      <c r="E28" s="120" t="s">
        <v>802</v>
      </c>
      <c r="F28" s="30"/>
      <c r="G28" s="30"/>
      <c r="H28" s="30"/>
      <c r="I28" s="30"/>
      <c r="J28" s="30"/>
      <c r="K28" s="30"/>
      <c r="L28" s="172"/>
      <c r="M28" s="172"/>
      <c r="N28" s="120" t="s">
        <v>803</v>
      </c>
      <c r="O28" s="103"/>
      <c r="P28" s="103"/>
      <c r="Q28" s="103"/>
      <c r="R28" s="103"/>
      <c r="S28" s="103"/>
      <c r="T28" s="103"/>
      <c r="U28" s="103"/>
    </row>
    <row r="29" spans="1:21">
      <c r="A29" s="3" t="s">
        <v>24</v>
      </c>
      <c r="B29" s="21">
        <f>SUM(B27:B28)</f>
        <v>8695.6093986013984</v>
      </c>
      <c r="C29" s="46"/>
      <c r="D29" s="243"/>
      <c r="L29" s="111"/>
      <c r="M29" s="111"/>
      <c r="N29" s="103"/>
      <c r="O29" s="103"/>
      <c r="P29" s="103"/>
      <c r="Q29" s="103"/>
      <c r="R29" s="103"/>
      <c r="S29" s="103"/>
      <c r="T29" s="103"/>
      <c r="U29" s="103"/>
    </row>
    <row r="30" spans="1:21">
      <c r="B30" s="9"/>
      <c r="C30" s="9"/>
      <c r="D30" s="285"/>
      <c r="L30" s="29"/>
      <c r="M30" s="29"/>
      <c r="N30" s="103"/>
      <c r="O30" s="103"/>
      <c r="P30" s="103"/>
      <c r="Q30" s="103"/>
      <c r="R30" s="103"/>
      <c r="S30" s="103"/>
      <c r="T30" s="103"/>
      <c r="U30" s="103"/>
    </row>
    <row r="31" spans="1:21">
      <c r="A31" s="2" t="s">
        <v>13</v>
      </c>
      <c r="B31" s="8"/>
      <c r="C31" s="9"/>
      <c r="D31" s="285"/>
      <c r="L31" s="29"/>
      <c r="M31" s="29"/>
      <c r="N31" s="103"/>
      <c r="O31" s="103"/>
      <c r="P31" s="103"/>
      <c r="Q31" s="103"/>
      <c r="R31" s="103"/>
      <c r="S31" s="103"/>
      <c r="T31" s="103"/>
      <c r="U31" s="103"/>
    </row>
    <row r="32" spans="1:21">
      <c r="A32" t="s">
        <v>7</v>
      </c>
      <c r="B32" s="9">
        <f>7299*0.72</f>
        <v>5255.28</v>
      </c>
      <c r="C32" s="9"/>
      <c r="D32" s="285">
        <v>2012</v>
      </c>
      <c r="E32" t="s">
        <v>521</v>
      </c>
      <c r="L32" s="29"/>
      <c r="M32" s="29"/>
      <c r="N32" s="110" t="s">
        <v>205</v>
      </c>
      <c r="O32" s="103"/>
      <c r="P32" s="103"/>
      <c r="Q32" s="103"/>
      <c r="R32" s="103"/>
      <c r="S32" s="103"/>
      <c r="T32" s="103"/>
      <c r="U32" s="103"/>
    </row>
    <row r="33" spans="1:21">
      <c r="B33" s="9"/>
      <c r="C33" s="9"/>
      <c r="D33" s="285"/>
      <c r="E33" s="52" t="s">
        <v>907</v>
      </c>
      <c r="L33" s="29"/>
      <c r="M33" s="29"/>
      <c r="N33" s="103" t="s">
        <v>206</v>
      </c>
      <c r="O33" s="103"/>
      <c r="P33" s="103"/>
      <c r="Q33" s="103"/>
      <c r="R33" s="103"/>
      <c r="S33" s="103"/>
      <c r="T33" s="103"/>
      <c r="U33" s="103"/>
    </row>
    <row r="34" spans="1:21">
      <c r="A34" t="s">
        <v>8</v>
      </c>
      <c r="B34" s="9">
        <v>190</v>
      </c>
      <c r="C34" s="9" t="s">
        <v>437</v>
      </c>
      <c r="D34" s="285"/>
      <c r="E34" s="52" t="s">
        <v>948</v>
      </c>
      <c r="L34" s="29"/>
      <c r="M34" s="29"/>
      <c r="N34" s="120" t="s">
        <v>943</v>
      </c>
      <c r="O34" s="103"/>
      <c r="P34" s="103"/>
      <c r="Q34" s="103"/>
      <c r="R34" s="103"/>
      <c r="S34" s="103"/>
      <c r="T34" s="103"/>
      <c r="U34" s="103"/>
    </row>
    <row r="35" spans="1:21">
      <c r="A35" s="3" t="s">
        <v>57</v>
      </c>
      <c r="B35" s="21">
        <f>SUM(B32:B34)</f>
        <v>5445.28</v>
      </c>
      <c r="C35" s="21"/>
      <c r="D35" s="285"/>
      <c r="L35" s="111"/>
      <c r="M35" s="111"/>
      <c r="N35" s="103"/>
      <c r="O35" s="103"/>
      <c r="P35" s="103"/>
      <c r="Q35" s="103"/>
      <c r="R35" s="103"/>
      <c r="S35" s="103"/>
      <c r="T35" s="103"/>
      <c r="U35" s="103"/>
    </row>
    <row r="36" spans="1:21">
      <c r="A36" s="3"/>
      <c r="B36" s="21"/>
      <c r="C36" s="21"/>
      <c r="D36" s="285"/>
      <c r="L36" s="29"/>
      <c r="M36" s="29"/>
      <c r="N36" s="103"/>
      <c r="O36" s="103"/>
      <c r="P36" s="103"/>
      <c r="Q36" s="103"/>
      <c r="R36" s="103"/>
      <c r="S36" s="103"/>
      <c r="T36" s="103"/>
      <c r="U36" s="103"/>
    </row>
    <row r="37" spans="1:21">
      <c r="A37" t="s">
        <v>64</v>
      </c>
      <c r="B37" s="9"/>
      <c r="C37" s="9"/>
      <c r="D37" s="285"/>
      <c r="L37" s="29"/>
      <c r="M37" s="29"/>
      <c r="N37" s="103"/>
      <c r="O37" s="103"/>
      <c r="P37" s="103"/>
      <c r="Q37" s="103"/>
      <c r="R37" s="103"/>
      <c r="S37" s="103"/>
      <c r="T37" s="103"/>
      <c r="U37" s="103"/>
    </row>
    <row r="38" spans="1:21">
      <c r="A38" t="s">
        <v>9</v>
      </c>
      <c r="B38" s="9">
        <v>1178</v>
      </c>
      <c r="C38" s="9"/>
      <c r="D38" s="285">
        <v>2012</v>
      </c>
      <c r="E38" t="s">
        <v>524</v>
      </c>
      <c r="L38" s="29"/>
      <c r="M38" s="29"/>
      <c r="N38" s="103" t="s">
        <v>868</v>
      </c>
      <c r="O38" s="103"/>
      <c r="P38" s="103"/>
      <c r="Q38" s="103"/>
      <c r="R38" s="103"/>
      <c r="S38" s="103"/>
      <c r="T38" s="103"/>
      <c r="U38" s="103"/>
    </row>
    <row r="39" spans="1:21">
      <c r="A39" t="s">
        <v>10</v>
      </c>
      <c r="B39" s="9">
        <v>4928</v>
      </c>
      <c r="C39" s="9"/>
      <c r="D39" s="285"/>
      <c r="E39" t="s">
        <v>524</v>
      </c>
      <c r="L39" s="29"/>
      <c r="M39" s="29"/>
      <c r="N39" s="103" t="s">
        <v>692</v>
      </c>
      <c r="O39" s="103"/>
      <c r="P39" s="103"/>
      <c r="Q39" s="103"/>
      <c r="R39" s="103"/>
      <c r="S39" s="103"/>
      <c r="T39" s="103"/>
      <c r="U39" s="103"/>
    </row>
    <row r="40" spans="1:21">
      <c r="A40" s="3" t="s">
        <v>24</v>
      </c>
      <c r="B40" s="21">
        <f>SUM(B38:B39)</f>
        <v>6106</v>
      </c>
      <c r="C40" s="21"/>
      <c r="D40" s="285"/>
      <c r="L40" s="111"/>
      <c r="M40" s="111"/>
      <c r="N40" s="103"/>
      <c r="O40" s="103"/>
      <c r="P40" s="103"/>
      <c r="Q40" s="103"/>
      <c r="R40" s="103"/>
      <c r="S40" s="103"/>
      <c r="T40" s="103"/>
      <c r="U40" s="103"/>
    </row>
    <row r="41" spans="1:21">
      <c r="B41" s="9"/>
      <c r="C41" s="9"/>
      <c r="D41" s="285"/>
      <c r="N41" s="103"/>
      <c r="O41" s="103"/>
      <c r="P41" s="103"/>
      <c r="Q41" s="103"/>
      <c r="R41" s="103"/>
      <c r="S41" s="103"/>
      <c r="T41" s="103"/>
      <c r="U41" s="103"/>
    </row>
    <row r="42" spans="1:21" ht="15.75">
      <c r="A42" s="4" t="s">
        <v>23</v>
      </c>
      <c r="B42" s="28">
        <f>SUM(B13+B19+B24+B29+B35+B40)</f>
        <v>30631.669398601396</v>
      </c>
      <c r="C42" s="46"/>
      <c r="D42" s="243"/>
    </row>
    <row r="43" spans="1:21" ht="15.75">
      <c r="A43" s="4"/>
      <c r="B43" s="4"/>
      <c r="C43" s="4"/>
    </row>
    <row r="44" spans="1:21" ht="15.75">
      <c r="A44" s="204" t="s">
        <v>944</v>
      </c>
      <c r="B44" s="204"/>
      <c r="C44" s="4"/>
    </row>
    <row r="45" spans="1:21">
      <c r="A45" s="106"/>
      <c r="B45" s="106"/>
      <c r="C45" s="39"/>
    </row>
    <row r="46" spans="1:21">
      <c r="A46" s="52"/>
      <c r="B46" s="52"/>
      <c r="C46" s="284"/>
    </row>
    <row r="47" spans="1:21">
      <c r="C47" s="9"/>
      <c r="D47" s="285"/>
    </row>
    <row r="48" spans="1:21">
      <c r="A48" s="39"/>
      <c r="B48" s="39"/>
      <c r="C48" s="45"/>
      <c r="D48" s="247"/>
    </row>
    <row r="49" spans="1:13">
      <c r="C49" s="9"/>
      <c r="D49" s="285"/>
    </row>
    <row r="50" spans="1:13">
      <c r="C50" s="9"/>
      <c r="D50" s="285"/>
    </row>
    <row r="51" spans="1:13">
      <c r="C51" s="9"/>
      <c r="D51" s="285"/>
    </row>
    <row r="52" spans="1:13">
      <c r="C52" s="9"/>
      <c r="D52" s="285"/>
    </row>
    <row r="53" spans="1:13">
      <c r="C53" s="9"/>
      <c r="D53" s="285"/>
      <c r="L53" s="7"/>
      <c r="M53" s="7"/>
    </row>
    <row r="54" spans="1:13">
      <c r="A54" s="3"/>
      <c r="B54" s="3"/>
      <c r="C54" s="21"/>
      <c r="D54" s="285"/>
      <c r="L54" s="7"/>
      <c r="M54" s="7"/>
    </row>
    <row r="55" spans="1:13">
      <c r="C55" s="9"/>
      <c r="D55" s="285"/>
      <c r="L55" s="7"/>
      <c r="M55" s="7"/>
    </row>
    <row r="56" spans="1:13">
      <c r="A56" s="2"/>
      <c r="B56" s="2"/>
      <c r="C56" s="9"/>
      <c r="D56" s="285"/>
      <c r="L56" s="7"/>
      <c r="M56" s="7"/>
    </row>
    <row r="57" spans="1:13">
      <c r="C57" s="9"/>
      <c r="D57" s="285"/>
      <c r="L57" s="7"/>
      <c r="M57" s="7"/>
    </row>
    <row r="58" spans="1:13">
      <c r="C58" s="9"/>
      <c r="D58" s="285"/>
      <c r="L58" s="7"/>
      <c r="M58" s="7"/>
    </row>
    <row r="59" spans="1:13">
      <c r="C59" s="9"/>
      <c r="D59" s="285"/>
      <c r="L59" s="7"/>
      <c r="M59" s="7"/>
    </row>
    <row r="60" spans="1:13">
      <c r="A60" s="3"/>
      <c r="B60" s="3"/>
      <c r="C60" s="21"/>
      <c r="D60" s="285"/>
      <c r="L60" s="7"/>
      <c r="M60" s="7"/>
    </row>
    <row r="61" spans="1:13">
      <c r="C61" s="9"/>
      <c r="D61" s="285"/>
      <c r="L61" s="7"/>
      <c r="M61" s="7"/>
    </row>
    <row r="62" spans="1:13">
      <c r="A62" s="2"/>
      <c r="B62" s="2"/>
      <c r="C62" s="9"/>
      <c r="D62" s="285"/>
      <c r="L62" s="7"/>
      <c r="M62" s="7"/>
    </row>
    <row r="63" spans="1:13">
      <c r="C63" s="9"/>
      <c r="D63" s="285"/>
      <c r="L63" s="7"/>
      <c r="M63" s="7"/>
    </row>
    <row r="64" spans="1:13">
      <c r="A64" s="3"/>
      <c r="B64" s="3"/>
      <c r="C64" s="21"/>
      <c r="D64" s="285"/>
      <c r="L64" s="7"/>
      <c r="M64" s="7"/>
    </row>
    <row r="65" spans="1:13">
      <c r="C65" s="9"/>
      <c r="D65" s="285"/>
      <c r="L65" s="7"/>
      <c r="M65" s="7"/>
    </row>
    <row r="66" spans="1:13">
      <c r="A66" s="2"/>
      <c r="B66" s="2"/>
      <c r="C66" s="9"/>
      <c r="D66" s="285"/>
      <c r="J66" s="9"/>
      <c r="L66" s="7"/>
      <c r="M66" s="7"/>
    </row>
    <row r="67" spans="1:13">
      <c r="C67" s="9"/>
      <c r="D67" s="285"/>
      <c r="L67" s="7"/>
      <c r="M67" s="7"/>
    </row>
    <row r="68" spans="1:13">
      <c r="C68" s="9"/>
      <c r="D68" s="285"/>
      <c r="L68" s="7"/>
      <c r="M68" s="7"/>
    </row>
    <row r="69" spans="1:13">
      <c r="A69" s="3"/>
      <c r="B69" s="3"/>
      <c r="C69" s="21"/>
      <c r="D69" s="285"/>
      <c r="L69" s="7"/>
      <c r="M69" s="7"/>
    </row>
    <row r="70" spans="1:13">
      <c r="C70" s="9"/>
      <c r="D70" s="285"/>
      <c r="L70" s="7"/>
      <c r="M70" s="7"/>
    </row>
    <row r="71" spans="1:13">
      <c r="A71" s="2"/>
      <c r="B71" s="2"/>
      <c r="C71" s="9"/>
      <c r="D71" s="285"/>
      <c r="L71" s="7"/>
      <c r="M71" s="7"/>
    </row>
    <row r="72" spans="1:13">
      <c r="C72" s="9"/>
      <c r="D72" s="285"/>
      <c r="L72" s="7"/>
      <c r="M72" s="7"/>
    </row>
    <row r="73" spans="1:13">
      <c r="C73" s="9"/>
      <c r="D73" s="285"/>
      <c r="L73" s="7"/>
      <c r="M73" s="7"/>
    </row>
    <row r="74" spans="1:13">
      <c r="A74" s="3"/>
      <c r="B74" s="3"/>
      <c r="C74" s="21"/>
      <c r="D74" s="285"/>
      <c r="L74" s="7"/>
      <c r="M74" s="7"/>
    </row>
    <row r="75" spans="1:13">
      <c r="C75" s="9"/>
      <c r="D75" s="285"/>
      <c r="L75" s="7"/>
      <c r="M75" s="7"/>
    </row>
    <row r="76" spans="1:13">
      <c r="C76" s="9"/>
      <c r="D76" s="285"/>
      <c r="L76" s="7"/>
      <c r="M76" s="7"/>
    </row>
    <row r="77" spans="1:13">
      <c r="C77" s="9"/>
      <c r="D77" s="285"/>
      <c r="L77" s="7"/>
      <c r="M77" s="7"/>
    </row>
    <row r="78" spans="1:13">
      <c r="A78" s="3"/>
      <c r="B78" s="3"/>
      <c r="C78" s="21"/>
      <c r="D78" s="285"/>
      <c r="L78" s="7"/>
      <c r="M78" s="7"/>
    </row>
    <row r="79" spans="1:13">
      <c r="C79" s="9"/>
      <c r="D79" s="285"/>
    </row>
    <row r="80" spans="1:13" ht="15.75">
      <c r="A80" s="4"/>
      <c r="B80" s="4"/>
      <c r="C80" s="17"/>
    </row>
    <row r="81" spans="1:5" ht="15.75">
      <c r="A81" s="4"/>
      <c r="B81" s="4"/>
      <c r="C81" s="4"/>
    </row>
    <row r="82" spans="1:5" ht="15.75">
      <c r="A82" s="4"/>
      <c r="B82" s="4"/>
      <c r="C82" s="4"/>
    </row>
    <row r="93" spans="1:5">
      <c r="C93" s="6"/>
      <c r="E93" s="7"/>
    </row>
    <row r="94" spans="1:5">
      <c r="C94" s="6"/>
      <c r="E94" s="7"/>
    </row>
    <row r="95" spans="1:5">
      <c r="C95" s="6"/>
      <c r="E95" s="7"/>
    </row>
    <row r="96" spans="1:5">
      <c r="C96" s="5"/>
      <c r="E96" s="7"/>
    </row>
    <row r="99" spans="3:3">
      <c r="C99" s="8"/>
    </row>
  </sheetData>
  <mergeCells count="1">
    <mergeCell ref="E17:K17"/>
  </mergeCells>
  <hyperlinks>
    <hyperlink ref="N32" r:id="rId1"/>
    <hyperlink ref="N22" r:id="rId2"/>
    <hyperlink ref="N6" r:id="rId3"/>
  </hyperlinks>
  <pageMargins left="0.70866141732283472" right="0.70866141732283472" top="0.74803149606299213" bottom="0.74803149606299213" header="0.31496062992125984" footer="0.31496062992125984"/>
  <pageSetup scale="85" orientation="landscape" verticalDpi="0" r:id="rId4"/>
</worksheet>
</file>

<file path=xl/worksheets/sheet40.xml><?xml version="1.0" encoding="utf-8"?>
<worksheet xmlns="http://schemas.openxmlformats.org/spreadsheetml/2006/main" xmlns:r="http://schemas.openxmlformats.org/officeDocument/2006/relationships">
  <sheetPr>
    <tabColor rgb="FFFF0000"/>
  </sheetPr>
  <dimension ref="A1:I103"/>
  <sheetViews>
    <sheetView topLeftCell="A62" workbookViewId="0">
      <selection activeCell="K75" sqref="K75"/>
    </sheetView>
  </sheetViews>
  <sheetFormatPr defaultRowHeight="12.75"/>
  <cols>
    <col min="2" max="2" width="11.42578125" bestFit="1" customWidth="1"/>
  </cols>
  <sheetData>
    <row r="1" spans="1:4">
      <c r="A1" s="52" t="s">
        <v>636</v>
      </c>
    </row>
    <row r="2" spans="1:4">
      <c r="B2">
        <v>2009</v>
      </c>
      <c r="C2">
        <v>2010</v>
      </c>
      <c r="D2">
        <v>2013</v>
      </c>
    </row>
    <row r="3" spans="1:4">
      <c r="A3" t="s">
        <v>508</v>
      </c>
      <c r="B3" s="29">
        <v>0.36699999999999999</v>
      </c>
      <c r="C3" s="29">
        <v>0.35599999999999998</v>
      </c>
    </row>
    <row r="4" spans="1:4">
      <c r="A4" t="s">
        <v>29</v>
      </c>
      <c r="B4" s="29">
        <v>0.311</v>
      </c>
      <c r="C4" s="29">
        <v>0.315</v>
      </c>
    </row>
    <row r="5" spans="1:4">
      <c r="A5" t="s">
        <v>30</v>
      </c>
      <c r="B5" s="29">
        <v>0.21299999999999999</v>
      </c>
      <c r="C5" s="29">
        <v>0.21</v>
      </c>
    </row>
    <row r="6" spans="1:4">
      <c r="A6" t="s">
        <v>31</v>
      </c>
      <c r="B6" s="29">
        <v>0.26100000000000001</v>
      </c>
      <c r="C6" s="29">
        <v>0.26300000000000001</v>
      </c>
    </row>
    <row r="7" spans="1:4">
      <c r="A7" t="s">
        <v>416</v>
      </c>
      <c r="B7" s="29">
        <v>0.20300000000000001</v>
      </c>
      <c r="C7" s="29">
        <v>0.19800000000000001</v>
      </c>
    </row>
    <row r="8" spans="1:4">
      <c r="A8" t="s">
        <v>509</v>
      </c>
      <c r="B8" s="29">
        <v>0.14199999999999999</v>
      </c>
      <c r="C8" s="29">
        <v>0.129</v>
      </c>
    </row>
    <row r="9" spans="1:4">
      <c r="A9" t="s">
        <v>510</v>
      </c>
      <c r="B9" s="29">
        <v>0.121</v>
      </c>
      <c r="C9" s="29">
        <v>0.122</v>
      </c>
    </row>
    <row r="10" spans="1:4">
      <c r="A10" t="s">
        <v>417</v>
      </c>
      <c r="B10" s="29">
        <v>0.108</v>
      </c>
      <c r="C10" s="29">
        <v>0.107</v>
      </c>
    </row>
    <row r="11" spans="1:4">
      <c r="A11" t="s">
        <v>392</v>
      </c>
      <c r="B11" s="29">
        <v>0.112</v>
      </c>
      <c r="C11" s="29">
        <v>0.11</v>
      </c>
    </row>
    <row r="12" spans="1:4">
      <c r="A12" t="s">
        <v>36</v>
      </c>
      <c r="B12" s="29">
        <v>0.13600000000000001</v>
      </c>
      <c r="C12" s="29">
        <v>0.13100000000000001</v>
      </c>
    </row>
    <row r="13" spans="1:4">
      <c r="A13" t="s">
        <v>171</v>
      </c>
      <c r="B13" s="29">
        <v>0.159</v>
      </c>
      <c r="C13" s="29">
        <v>0.152</v>
      </c>
    </row>
    <row r="18" spans="1:3">
      <c r="A18" s="52" t="s">
        <v>637</v>
      </c>
    </row>
    <row r="19" spans="1:3">
      <c r="B19">
        <v>2009</v>
      </c>
      <c r="C19">
        <v>2010</v>
      </c>
    </row>
    <row r="20" spans="1:3">
      <c r="A20" t="s">
        <v>508</v>
      </c>
      <c r="B20" s="161">
        <v>1917</v>
      </c>
      <c r="C20">
        <v>1835</v>
      </c>
    </row>
    <row r="21" spans="1:3">
      <c r="A21" t="s">
        <v>29</v>
      </c>
      <c r="B21" s="161">
        <v>1509</v>
      </c>
      <c r="C21">
        <v>1529</v>
      </c>
    </row>
    <row r="22" spans="1:3">
      <c r="A22" t="s">
        <v>30</v>
      </c>
      <c r="B22" s="161">
        <v>822</v>
      </c>
      <c r="C22">
        <v>819</v>
      </c>
    </row>
    <row r="23" spans="1:3">
      <c r="A23" t="s">
        <v>31</v>
      </c>
      <c r="B23" s="161">
        <v>1112</v>
      </c>
      <c r="C23">
        <v>1113</v>
      </c>
    </row>
    <row r="24" spans="1:3">
      <c r="A24" t="s">
        <v>416</v>
      </c>
      <c r="B24" s="161">
        <v>698</v>
      </c>
      <c r="C24">
        <v>689</v>
      </c>
    </row>
    <row r="25" spans="1:3">
      <c r="A25" t="s">
        <v>509</v>
      </c>
      <c r="B25" s="161">
        <v>506</v>
      </c>
      <c r="C25">
        <v>448</v>
      </c>
    </row>
    <row r="26" spans="1:3">
      <c r="A26" t="s">
        <v>510</v>
      </c>
      <c r="B26" s="161">
        <v>375</v>
      </c>
      <c r="C26">
        <v>386</v>
      </c>
    </row>
    <row r="27" spans="1:3">
      <c r="A27" t="s">
        <v>417</v>
      </c>
      <c r="B27" s="161">
        <v>389</v>
      </c>
      <c r="C27">
        <v>385</v>
      </c>
    </row>
    <row r="28" spans="1:3">
      <c r="A28" t="s">
        <v>392</v>
      </c>
      <c r="B28" s="161">
        <v>445</v>
      </c>
      <c r="C28">
        <v>423</v>
      </c>
    </row>
    <row r="29" spans="1:3">
      <c r="A29" t="s">
        <v>36</v>
      </c>
      <c r="B29" s="161">
        <v>478</v>
      </c>
      <c r="C29">
        <v>457</v>
      </c>
    </row>
    <row r="30" spans="1:3">
      <c r="A30" t="s">
        <v>171</v>
      </c>
      <c r="B30" s="161">
        <v>580</v>
      </c>
      <c r="C30">
        <v>549</v>
      </c>
    </row>
    <row r="33" spans="1:9">
      <c r="A33" t="s">
        <v>512</v>
      </c>
    </row>
    <row r="34" spans="1:9">
      <c r="A34" t="s">
        <v>513</v>
      </c>
    </row>
    <row r="36" spans="1:9">
      <c r="A36" s="52" t="s">
        <v>638</v>
      </c>
    </row>
    <row r="37" spans="1:9">
      <c r="A37" s="52" t="s">
        <v>639</v>
      </c>
    </row>
    <row r="38" spans="1:9">
      <c r="A38" s="52"/>
    </row>
    <row r="39" spans="1:9" ht="18">
      <c r="A39" s="306" t="s">
        <v>934</v>
      </c>
      <c r="B39" s="153"/>
      <c r="C39" s="153"/>
      <c r="D39" s="153"/>
      <c r="E39" s="153"/>
      <c r="F39" s="153"/>
    </row>
    <row r="41" spans="1:9">
      <c r="A41" s="2" t="s">
        <v>933</v>
      </c>
      <c r="B41" s="2"/>
      <c r="C41" s="2"/>
      <c r="D41" s="2"/>
      <c r="E41" s="2"/>
      <c r="F41" s="2"/>
    </row>
    <row r="42" spans="1:9">
      <c r="A42" s="2"/>
      <c r="B42" s="2">
        <v>2005</v>
      </c>
      <c r="C42" s="2">
        <v>2009</v>
      </c>
      <c r="D42" s="2">
        <v>2013</v>
      </c>
      <c r="E42" s="2"/>
      <c r="F42" s="2"/>
    </row>
    <row r="43" spans="1:9">
      <c r="A43" t="s">
        <v>508</v>
      </c>
      <c r="B43" s="29">
        <f>103550/270140</f>
        <v>0.38331976012437996</v>
      </c>
      <c r="C43" s="29">
        <f>104740/285380</f>
        <v>0.36701941271287408</v>
      </c>
      <c r="D43" s="29">
        <f>91510/291860</f>
        <v>0.31354073871034055</v>
      </c>
    </row>
    <row r="44" spans="1:9">
      <c r="A44" t="s">
        <v>29</v>
      </c>
      <c r="B44" s="29">
        <f>25510/80310</f>
        <v>0.31764412900012451</v>
      </c>
      <c r="C44" s="29">
        <f>25610/82410</f>
        <v>0.31076325688630019</v>
      </c>
      <c r="D44" s="29">
        <f>23510/82690</f>
        <v>0.28431491111379853</v>
      </c>
    </row>
    <row r="45" spans="1:9">
      <c r="A45" t="s">
        <v>30</v>
      </c>
      <c r="B45" s="29">
        <f>101220/493250</f>
        <v>0.20521033958438925</v>
      </c>
      <c r="C45" s="29">
        <f>106820/501830</f>
        <v>0.2128609289998605</v>
      </c>
      <c r="D45" s="29">
        <f>93720/497700</f>
        <v>0.18830620855937311</v>
      </c>
    </row>
    <row r="46" spans="1:9">
      <c r="A46" t="s">
        <v>31</v>
      </c>
      <c r="B46" s="29">
        <f>107340/409120</f>
        <v>0.26236800938599919</v>
      </c>
      <c r="C46" s="29">
        <f>109480/419170</f>
        <v>0.2611828136555574</v>
      </c>
      <c r="D46" s="29">
        <f>100830/410790</f>
        <v>0.24545388154531511</v>
      </c>
      <c r="G46" s="136" t="s">
        <v>1040</v>
      </c>
      <c r="H46" s="136"/>
      <c r="I46" s="136"/>
    </row>
    <row r="47" spans="1:9">
      <c r="A47" t="s">
        <v>416</v>
      </c>
      <c r="B47" s="29">
        <f>731400/4145050</f>
        <v>0.17645143001893826</v>
      </c>
      <c r="C47" s="29">
        <f>873150/4294210</f>
        <v>0.20333192834071925</v>
      </c>
      <c r="D47" s="29">
        <f>774920/4460430</f>
        <v>0.17373212896514462</v>
      </c>
    </row>
    <row r="48" spans="1:9">
      <c r="A48" t="s">
        <v>509</v>
      </c>
      <c r="B48" s="29">
        <f>678240/6704920</f>
        <v>0.10115556934310924</v>
      </c>
      <c r="C48" s="29">
        <f>986690/6961810</f>
        <v>0.14172894692615856</v>
      </c>
      <c r="D48" s="29">
        <f>734480/7171860</f>
        <v>0.10241136887780855</v>
      </c>
    </row>
    <row r="49" spans="1:9">
      <c r="A49" t="s">
        <v>510</v>
      </c>
      <c r="B49" s="29">
        <f>66650/625140</f>
        <v>0.10661611798957034</v>
      </c>
      <c r="C49" s="29">
        <f>79240/652510</f>
        <v>0.12143875189652266</v>
      </c>
      <c r="D49" s="29">
        <f>66520/678550</f>
        <v>9.8032569449561568E-2</v>
      </c>
    </row>
    <row r="50" spans="1:9">
      <c r="A50" t="s">
        <v>417</v>
      </c>
      <c r="B50" s="29">
        <f>55110/540660</f>
        <v>0.10193097325491067</v>
      </c>
      <c r="C50" s="29">
        <f>62790/579300</f>
        <v>0.10838943552563439</v>
      </c>
      <c r="D50" s="29">
        <f>54090/616780</f>
        <v>8.76973961542203E-2</v>
      </c>
    </row>
    <row r="51" spans="1:9">
      <c r="A51" t="s">
        <v>392</v>
      </c>
      <c r="B51" s="29">
        <f>166570/1964090</f>
        <v>8.4807722660366888E-2</v>
      </c>
      <c r="C51" s="29">
        <f>235850/2096490</f>
        <v>0.11249755543789858</v>
      </c>
      <c r="D51" s="29">
        <f>187510/2321700</f>
        <v>8.0764095275013992E-2</v>
      </c>
    </row>
    <row r="52" spans="1:9">
      <c r="A52" t="s">
        <v>36</v>
      </c>
      <c r="B52" s="29">
        <f>253220/2262560</f>
        <v>0.11191747401173892</v>
      </c>
      <c r="C52" s="29">
        <f>331460/2434810</f>
        <v>0.13613382563731871</v>
      </c>
      <c r="D52" s="29">
        <f>256370/2529500</f>
        <v>0.10135204585886538</v>
      </c>
    </row>
    <row r="53" spans="1:9">
      <c r="A53" t="s">
        <v>171</v>
      </c>
      <c r="B53" s="29">
        <f>2296870/17553740</f>
        <v>0.13084789908019601</v>
      </c>
      <c r="C53" s="29">
        <f>2924600/18369900</f>
        <v>0.15920609257535426</v>
      </c>
      <c r="D53" s="29">
        <f>2391730/19126570</f>
        <v>0.12504751243950168</v>
      </c>
    </row>
    <row r="56" spans="1:9">
      <c r="A56" s="2" t="s">
        <v>930</v>
      </c>
      <c r="B56" s="2"/>
      <c r="C56" s="2"/>
      <c r="D56" s="2"/>
    </row>
    <row r="57" spans="1:9">
      <c r="A57" s="2"/>
      <c r="B57" s="2">
        <v>2005</v>
      </c>
      <c r="C57" s="2">
        <v>2009</v>
      </c>
      <c r="D57" s="2">
        <v>2013</v>
      </c>
    </row>
    <row r="58" spans="1:9">
      <c r="A58" t="s">
        <v>508</v>
      </c>
      <c r="B58" s="9">
        <v>800.1</v>
      </c>
      <c r="C58" s="9">
        <v>975.5</v>
      </c>
      <c r="D58" s="9">
        <v>854.6</v>
      </c>
    </row>
    <row r="59" spans="1:9">
      <c r="A59" t="s">
        <v>29</v>
      </c>
      <c r="B59" s="9">
        <v>174</v>
      </c>
      <c r="C59" s="9">
        <v>213.1</v>
      </c>
      <c r="D59" s="9">
        <v>202.7</v>
      </c>
    </row>
    <row r="60" spans="1:9">
      <c r="A60" t="s">
        <v>30</v>
      </c>
      <c r="B60" s="9">
        <v>597.20000000000005</v>
      </c>
      <c r="C60" s="9">
        <v>773.3</v>
      </c>
      <c r="D60" s="9">
        <v>715.2</v>
      </c>
    </row>
    <row r="61" spans="1:9">
      <c r="A61" t="s">
        <v>31</v>
      </c>
      <c r="B61" s="9">
        <v>680</v>
      </c>
      <c r="C61" s="9">
        <v>834</v>
      </c>
      <c r="D61" s="9">
        <v>796.1</v>
      </c>
    </row>
    <row r="62" spans="1:9">
      <c r="A62" t="s">
        <v>416</v>
      </c>
      <c r="B62" s="9">
        <v>3643.2</v>
      </c>
      <c r="C62" s="9">
        <v>5464.9</v>
      </c>
      <c r="D62" s="9">
        <v>5127.1000000000004</v>
      </c>
      <c r="G62" s="136" t="s">
        <v>1040</v>
      </c>
      <c r="H62" s="136"/>
      <c r="I62" s="136"/>
    </row>
    <row r="63" spans="1:9">
      <c r="A63" t="s">
        <v>509</v>
      </c>
      <c r="B63" s="9">
        <v>3640.8</v>
      </c>
      <c r="C63" s="9">
        <v>6620.5</v>
      </c>
      <c r="D63" s="9">
        <v>4934.3</v>
      </c>
    </row>
    <row r="64" spans="1:9">
      <c r="A64" t="s">
        <v>510</v>
      </c>
      <c r="B64" s="9">
        <v>321</v>
      </c>
      <c r="C64" s="9">
        <v>457.1</v>
      </c>
      <c r="D64" s="9">
        <v>430.1</v>
      </c>
    </row>
    <row r="65" spans="1:9">
      <c r="A65" t="s">
        <v>417</v>
      </c>
      <c r="B65" s="9">
        <v>269.2</v>
      </c>
      <c r="C65" s="9">
        <v>400.1</v>
      </c>
      <c r="D65" s="9">
        <v>370.3</v>
      </c>
    </row>
    <row r="66" spans="1:9">
      <c r="A66" t="s">
        <v>392</v>
      </c>
      <c r="B66" s="9">
        <v>842</v>
      </c>
      <c r="C66" s="9">
        <v>1634.9</v>
      </c>
      <c r="D66" s="9">
        <v>1294.7</v>
      </c>
    </row>
    <row r="67" spans="1:9">
      <c r="A67" t="s">
        <v>36</v>
      </c>
      <c r="B67" s="9">
        <v>1296.0999999999999</v>
      </c>
      <c r="C67" s="9">
        <v>2132.4</v>
      </c>
      <c r="D67" s="9">
        <v>1613.5</v>
      </c>
    </row>
    <row r="68" spans="1:9">
      <c r="A68" t="s">
        <v>171</v>
      </c>
      <c r="B68" s="9">
        <v>12317.1</v>
      </c>
      <c r="C68" s="9">
        <v>19577.099999999999</v>
      </c>
      <c r="D68" s="9">
        <v>16409.599999999999</v>
      </c>
    </row>
    <row r="69" spans="1:9">
      <c r="B69" s="9"/>
      <c r="C69" s="9"/>
      <c r="D69" s="9"/>
    </row>
    <row r="71" spans="1:9">
      <c r="A71" s="2" t="s">
        <v>931</v>
      </c>
      <c r="B71" s="2"/>
      <c r="C71" s="2"/>
      <c r="D71" s="2"/>
    </row>
    <row r="72" spans="1:9">
      <c r="A72" s="2"/>
      <c r="B72" s="2">
        <v>2005</v>
      </c>
      <c r="C72" s="2">
        <v>2009</v>
      </c>
      <c r="D72" s="2">
        <v>2013</v>
      </c>
      <c r="G72" s="2"/>
    </row>
    <row r="73" spans="1:9">
      <c r="A73" t="s">
        <v>508</v>
      </c>
      <c r="B73" s="9">
        <v>514.29999999999995</v>
      </c>
      <c r="C73" s="9">
        <v>516.70000000000005</v>
      </c>
      <c r="D73" s="9">
        <v>528</v>
      </c>
      <c r="G73" s="29"/>
    </row>
    <row r="74" spans="1:9">
      <c r="A74" t="s">
        <v>29</v>
      </c>
      <c r="B74" s="9">
        <v>138.1</v>
      </c>
      <c r="C74" s="9">
        <v>139.9</v>
      </c>
      <c r="D74" s="9">
        <v>145.4</v>
      </c>
      <c r="G74" s="29"/>
    </row>
    <row r="75" spans="1:9">
      <c r="A75" t="s">
        <v>30</v>
      </c>
      <c r="B75" s="9">
        <v>937.9</v>
      </c>
      <c r="C75" s="9">
        <v>938.2</v>
      </c>
      <c r="D75" s="9">
        <v>943</v>
      </c>
      <c r="G75" s="29"/>
    </row>
    <row r="76" spans="1:9">
      <c r="A76" t="s">
        <v>31</v>
      </c>
      <c r="B76" s="9">
        <v>748</v>
      </c>
      <c r="C76" s="9">
        <v>750</v>
      </c>
      <c r="D76" s="9">
        <v>755.7</v>
      </c>
      <c r="G76" s="29"/>
    </row>
    <row r="77" spans="1:9">
      <c r="A77" t="s">
        <v>416</v>
      </c>
      <c r="B77" s="9">
        <v>7581.2</v>
      </c>
      <c r="C77" s="9">
        <v>7843.5</v>
      </c>
      <c r="D77" s="9">
        <v>8154.8</v>
      </c>
      <c r="G77" s="136" t="s">
        <v>1040</v>
      </c>
      <c r="H77" s="136"/>
      <c r="I77" s="136"/>
    </row>
    <row r="78" spans="1:9">
      <c r="A78" t="s">
        <v>509</v>
      </c>
      <c r="B78" s="9">
        <v>12528</v>
      </c>
      <c r="C78" s="9">
        <v>12997.7</v>
      </c>
      <c r="D78" s="9">
        <v>13551</v>
      </c>
      <c r="G78" s="29"/>
    </row>
    <row r="79" spans="1:9">
      <c r="A79" t="s">
        <v>510</v>
      </c>
      <c r="B79" s="9">
        <v>1178.3</v>
      </c>
      <c r="C79" s="9">
        <v>1208.5999999999999</v>
      </c>
      <c r="D79" s="9">
        <v>1265.3</v>
      </c>
      <c r="G79" s="29"/>
    </row>
    <row r="80" spans="1:9">
      <c r="A80" t="s">
        <v>417</v>
      </c>
      <c r="B80" s="9">
        <v>993.5</v>
      </c>
      <c r="C80" s="9">
        <v>1034.8</v>
      </c>
      <c r="D80" s="9">
        <v>1106.0999999999999</v>
      </c>
      <c r="G80" s="29"/>
    </row>
    <row r="81" spans="1:9">
      <c r="A81" t="s">
        <v>392</v>
      </c>
      <c r="B81" s="9">
        <v>3321.6</v>
      </c>
      <c r="C81" s="9">
        <v>3679.1</v>
      </c>
      <c r="D81" s="9">
        <v>4007.7</v>
      </c>
      <c r="G81" s="29"/>
    </row>
    <row r="82" spans="1:9">
      <c r="A82" t="s">
        <v>36</v>
      </c>
      <c r="B82" s="9">
        <v>4195.8</v>
      </c>
      <c r="C82" s="9">
        <v>4410.7</v>
      </c>
      <c r="D82" s="9">
        <v>4582.6000000000004</v>
      </c>
      <c r="G82" s="29"/>
    </row>
    <row r="83" spans="1:9">
      <c r="A83" t="s">
        <v>171</v>
      </c>
      <c r="B83" s="9">
        <v>32242.400000000001</v>
      </c>
      <c r="C83" s="9">
        <v>33628.6</v>
      </c>
      <c r="D83" s="9">
        <v>35155.5</v>
      </c>
      <c r="G83" s="29"/>
    </row>
    <row r="84" spans="1:9">
      <c r="G84" s="29"/>
    </row>
    <row r="86" spans="1:9">
      <c r="A86" s="2" t="s">
        <v>932</v>
      </c>
      <c r="B86" s="2"/>
      <c r="C86" s="2"/>
      <c r="D86" s="2"/>
    </row>
    <row r="87" spans="1:9">
      <c r="A87" s="2"/>
      <c r="B87" s="2">
        <v>2005</v>
      </c>
      <c r="C87" s="2">
        <v>2009</v>
      </c>
      <c r="D87" s="2">
        <v>2013</v>
      </c>
    </row>
    <row r="88" spans="1:9">
      <c r="A88" t="s">
        <v>508</v>
      </c>
      <c r="B88" s="161">
        <f>(B58/B73)*1000</f>
        <v>1555.7067859226136</v>
      </c>
      <c r="C88" s="161">
        <f t="shared" ref="C88:D88" si="0">(C58/C73)*1000</f>
        <v>1887.9427133733307</v>
      </c>
      <c r="D88" s="161">
        <f t="shared" si="0"/>
        <v>1618.5606060606062</v>
      </c>
    </row>
    <row r="89" spans="1:9">
      <c r="A89" t="s">
        <v>29</v>
      </c>
      <c r="B89" s="161">
        <f t="shared" ref="B89:D98" si="1">(B59/B74)*1000</f>
        <v>1259.9565532223028</v>
      </c>
      <c r="C89" s="161">
        <f t="shared" si="1"/>
        <v>1523.230879199428</v>
      </c>
      <c r="D89" s="161">
        <f t="shared" si="1"/>
        <v>1394.0852819807426</v>
      </c>
    </row>
    <row r="90" spans="1:9">
      <c r="A90" t="s">
        <v>30</v>
      </c>
      <c r="B90" s="161">
        <f t="shared" si="1"/>
        <v>636.74165689305903</v>
      </c>
      <c r="C90" s="161">
        <f t="shared" si="1"/>
        <v>824.23790236623313</v>
      </c>
      <c r="D90" s="161">
        <f t="shared" si="1"/>
        <v>758.43054082714741</v>
      </c>
    </row>
    <row r="91" spans="1:9">
      <c r="A91" t="s">
        <v>31</v>
      </c>
      <c r="B91" s="161">
        <f t="shared" si="1"/>
        <v>909.09090909090901</v>
      </c>
      <c r="C91" s="161">
        <f t="shared" si="1"/>
        <v>1112</v>
      </c>
      <c r="D91" s="161">
        <f t="shared" si="1"/>
        <v>1053.4603678708484</v>
      </c>
    </row>
    <row r="92" spans="1:9">
      <c r="A92" t="s">
        <v>416</v>
      </c>
      <c r="B92" s="161">
        <f t="shared" si="1"/>
        <v>480.55716773070225</v>
      </c>
      <c r="C92" s="161">
        <f t="shared" si="1"/>
        <v>696.74252565818824</v>
      </c>
      <c r="D92" s="161">
        <f t="shared" si="1"/>
        <v>628.72173443861288</v>
      </c>
      <c r="G92" s="136" t="s">
        <v>1040</v>
      </c>
      <c r="H92" s="136"/>
      <c r="I92" s="136"/>
    </row>
    <row r="93" spans="1:9">
      <c r="A93" t="s">
        <v>509</v>
      </c>
      <c r="B93" s="161">
        <f t="shared" si="1"/>
        <v>290.61302681992339</v>
      </c>
      <c r="C93" s="161">
        <f t="shared" si="1"/>
        <v>509.35934819237252</v>
      </c>
      <c r="D93" s="161">
        <f t="shared" si="1"/>
        <v>364.12810862666959</v>
      </c>
    </row>
    <row r="94" spans="1:9">
      <c r="A94" t="s">
        <v>510</v>
      </c>
      <c r="B94" s="161">
        <f t="shared" si="1"/>
        <v>272.42637698379025</v>
      </c>
      <c r="C94" s="161">
        <f t="shared" si="1"/>
        <v>378.20618897898402</v>
      </c>
      <c r="D94" s="161">
        <f t="shared" si="1"/>
        <v>339.91938670670993</v>
      </c>
    </row>
    <row r="95" spans="1:9">
      <c r="A95" t="s">
        <v>417</v>
      </c>
      <c r="B95" s="161">
        <f t="shared" si="1"/>
        <v>270.96124811273273</v>
      </c>
      <c r="C95" s="161">
        <f t="shared" si="1"/>
        <v>386.64476227290299</v>
      </c>
      <c r="D95" s="161">
        <f t="shared" si="1"/>
        <v>334.77985715577256</v>
      </c>
    </row>
    <row r="96" spans="1:9">
      <c r="A96" t="s">
        <v>392</v>
      </c>
      <c r="B96" s="161">
        <f t="shared" si="1"/>
        <v>253.49229287090557</v>
      </c>
      <c r="C96" s="161">
        <f t="shared" si="1"/>
        <v>444.37498301214976</v>
      </c>
      <c r="D96" s="161">
        <f t="shared" si="1"/>
        <v>323.05312273872801</v>
      </c>
    </row>
    <row r="97" spans="1:4">
      <c r="A97" t="s">
        <v>36</v>
      </c>
      <c r="B97" s="161">
        <f t="shared" si="1"/>
        <v>308.90414223747553</v>
      </c>
      <c r="C97" s="161">
        <f t="shared" si="1"/>
        <v>483.46067517627591</v>
      </c>
      <c r="D97" s="161">
        <f t="shared" si="1"/>
        <v>352.0926984681185</v>
      </c>
    </row>
    <row r="98" spans="1:4">
      <c r="A98" t="s">
        <v>171</v>
      </c>
      <c r="B98" s="161">
        <f t="shared" si="1"/>
        <v>382.01560677865172</v>
      </c>
      <c r="C98" s="161">
        <f t="shared" si="1"/>
        <v>582.15625985024656</v>
      </c>
      <c r="D98" s="161">
        <f t="shared" si="1"/>
        <v>466.77191335637383</v>
      </c>
    </row>
    <row r="101" spans="1:4">
      <c r="A101" t="s">
        <v>1037</v>
      </c>
    </row>
    <row r="102" spans="1:4">
      <c r="A102" s="318" t="s">
        <v>1038</v>
      </c>
    </row>
    <row r="103" spans="1:4">
      <c r="A103" s="318" t="s">
        <v>1039</v>
      </c>
    </row>
  </sheetData>
  <pageMargins left="0.70866141732283472" right="0.70866141732283472" top="0.74803149606299213" bottom="0.74803149606299213" header="0.31496062992125984" footer="0.31496062992125984"/>
  <pageSetup scale="120" orientation="portrait" verticalDpi="0" r:id="rId1"/>
</worksheet>
</file>

<file path=xl/worksheets/sheet41.xml><?xml version="1.0" encoding="utf-8"?>
<worksheet xmlns="http://schemas.openxmlformats.org/spreadsheetml/2006/main" xmlns:r="http://schemas.openxmlformats.org/officeDocument/2006/relationships">
  <dimension ref="A1:D26"/>
  <sheetViews>
    <sheetView workbookViewId="0">
      <selection activeCell="N21" sqref="N21"/>
    </sheetView>
  </sheetViews>
  <sheetFormatPr defaultRowHeight="12.75"/>
  <cols>
    <col min="1" max="1" width="23.140625" customWidth="1"/>
    <col min="2" max="4" width="12.7109375" customWidth="1"/>
  </cols>
  <sheetData>
    <row r="1" spans="1:4">
      <c r="A1" s="2" t="s">
        <v>822</v>
      </c>
    </row>
    <row r="3" spans="1:4" ht="51">
      <c r="B3" s="24" t="s">
        <v>640</v>
      </c>
      <c r="C3" s="24" t="s">
        <v>641</v>
      </c>
      <c r="D3" s="24" t="s">
        <v>667</v>
      </c>
    </row>
    <row r="4" spans="1:4">
      <c r="A4" s="52" t="s">
        <v>642</v>
      </c>
      <c r="B4" s="29">
        <f>NFLD!I272</f>
        <v>8.0870521194322739E-2</v>
      </c>
      <c r="C4" s="29">
        <f>NFLD!I273</f>
        <v>0.21084430720072506</v>
      </c>
      <c r="D4" s="29">
        <f>NFLD!I274</f>
        <v>0.23243708684606362</v>
      </c>
    </row>
    <row r="5" spans="1:4">
      <c r="A5" s="52" t="s">
        <v>29</v>
      </c>
      <c r="B5" s="29">
        <f>PEI!I271</f>
        <v>0.25606835162478114</v>
      </c>
      <c r="C5" s="29">
        <f>PEI!I272</f>
        <v>0.32169332288415792</v>
      </c>
      <c r="D5" s="29">
        <f>PEI!I273</f>
        <v>0.33405799941216796</v>
      </c>
    </row>
    <row r="6" spans="1:4">
      <c r="A6" s="52" t="s">
        <v>30</v>
      </c>
      <c r="B6" s="29">
        <f>NS!I278</f>
        <v>0.10352754657154191</v>
      </c>
      <c r="C6" s="29">
        <f>NS!I279</f>
        <v>0.20511855254664585</v>
      </c>
      <c r="D6" s="29">
        <f>NS!I280</f>
        <v>0.22573264352957995</v>
      </c>
    </row>
    <row r="7" spans="1:4">
      <c r="A7" s="52" t="s">
        <v>31</v>
      </c>
      <c r="B7" s="29">
        <f>NB!I266</f>
        <v>0.14948854892731053</v>
      </c>
      <c r="C7" s="29">
        <f>NB!I267</f>
        <v>0.29117078435376109</v>
      </c>
      <c r="D7" s="29">
        <f>NB!I268</f>
        <v>0.30822012592318232</v>
      </c>
    </row>
    <row r="8" spans="1:4">
      <c r="A8" s="52" t="s">
        <v>416</v>
      </c>
      <c r="B8" s="29">
        <f>QUE!I278</f>
        <v>0.11605136361561207</v>
      </c>
      <c r="C8" s="29">
        <f>QUE!I279</f>
        <v>0.17151803303777749</v>
      </c>
      <c r="D8" s="29">
        <f>QUE!I280</f>
        <v>0.18909333677028375</v>
      </c>
    </row>
    <row r="9" spans="1:4">
      <c r="A9" s="52" t="s">
        <v>509</v>
      </c>
      <c r="B9" s="29">
        <f>'ONT input 09-10 &amp; 13-14 charts'!D48</f>
        <v>0.55228662333384204</v>
      </c>
      <c r="C9" s="29">
        <f>'ONT input 09-10 &amp; 13-14 charts'!D49</f>
        <v>0.32825655137984189</v>
      </c>
      <c r="D9" s="29">
        <f>'ONT input 09-10 &amp; 13-14 charts'!D50</f>
        <v>0.24800814932642024</v>
      </c>
    </row>
    <row r="10" spans="1:4">
      <c r="A10" s="52" t="s">
        <v>510</v>
      </c>
      <c r="B10" s="29">
        <f>Manitoba!F275</f>
        <v>0.28490944805405061</v>
      </c>
      <c r="C10" s="29">
        <f>Manitoba!F276</f>
        <v>0.23162592857369158</v>
      </c>
      <c r="D10" s="29">
        <f>Manitoba!F277</f>
        <v>0.20665884485297692</v>
      </c>
    </row>
    <row r="11" spans="1:4">
      <c r="A11" s="52" t="s">
        <v>417</v>
      </c>
      <c r="B11" s="29">
        <f>SASK!I277</f>
        <v>0.12885604113110541</v>
      </c>
      <c r="C11" s="29">
        <f>SASK!I278</f>
        <v>0.15738044268726092</v>
      </c>
      <c r="D11" s="29">
        <f>SASK!I279</f>
        <v>0.16915547987825127</v>
      </c>
    </row>
    <row r="12" spans="1:4">
      <c r="A12" s="52" t="s">
        <v>392</v>
      </c>
      <c r="B12" s="29">
        <f>Alberta!I282</f>
        <v>0.64020693162259423</v>
      </c>
      <c r="C12" s="29">
        <f>Alberta!I283</f>
        <v>0.43041353916619834</v>
      </c>
      <c r="D12" s="29">
        <f>Alberta!I284</f>
        <v>0.35338599527478759</v>
      </c>
    </row>
    <row r="13" spans="1:4">
      <c r="A13" s="52" t="s">
        <v>36</v>
      </c>
      <c r="B13" s="29">
        <f>BC!I267</f>
        <v>0.39942029908744869</v>
      </c>
      <c r="C13" s="29">
        <f>BC!I268</f>
        <v>0.28620751566872832</v>
      </c>
      <c r="D13" s="29">
        <f>BC!I269</f>
        <v>0.25724358932570179</v>
      </c>
    </row>
    <row r="14" spans="1:4">
      <c r="A14" s="52" t="s">
        <v>487</v>
      </c>
      <c r="B14" s="29">
        <f>'CANADA TABLE TO 13-14'!F91</f>
        <v>0.34523097551985582</v>
      </c>
      <c r="C14" s="29">
        <f>'CANADA TABLE TO 13-14'!F92</f>
        <v>0.27041782983586427</v>
      </c>
      <c r="D14" s="29">
        <f>'CANADA TABLE TO 13-14'!F93</f>
        <v>0.24464223749045744</v>
      </c>
    </row>
    <row r="19" spans="1:4" ht="18">
      <c r="A19" s="233" t="s">
        <v>1041</v>
      </c>
    </row>
    <row r="21" spans="1:4" ht="51">
      <c r="B21" s="319" t="s">
        <v>640</v>
      </c>
      <c r="C21" s="319" t="s">
        <v>641</v>
      </c>
      <c r="D21" s="319" t="s">
        <v>667</v>
      </c>
    </row>
    <row r="22" spans="1:4">
      <c r="A22" s="52" t="s">
        <v>642</v>
      </c>
      <c r="B22" s="29">
        <f>NFLD!M272</f>
        <v>7.8628731307797864E-2</v>
      </c>
      <c r="C22" s="29">
        <f>NFLD!M273</f>
        <v>0.31159021405070536</v>
      </c>
      <c r="D22" s="29">
        <f>NFLD!M274</f>
        <v>0.3502925256266039</v>
      </c>
    </row>
    <row r="23" spans="1:4">
      <c r="A23" s="52" t="s">
        <v>416</v>
      </c>
      <c r="B23" s="29">
        <f>QUE!M278</f>
        <v>0.14726472113386821</v>
      </c>
      <c r="C23" s="29">
        <f>QUE!M279</f>
        <v>0.24187948021470321</v>
      </c>
      <c r="D23" s="29">
        <f>QUE!M280</f>
        <v>0.27185934281952467</v>
      </c>
    </row>
    <row r="24" spans="1:4">
      <c r="A24" s="52" t="s">
        <v>509</v>
      </c>
      <c r="B24" s="29">
        <f>'ONT input 09-10 &amp; 13-14 charts'!F48</f>
        <v>0.70416308461149069</v>
      </c>
      <c r="C24" s="29">
        <f>'ONT input 09-10 &amp; 13-14 charts'!F49</f>
        <v>0.38990181856400324</v>
      </c>
      <c r="D24" s="29">
        <f>'ONT input 09-10 &amp; 13-14 charts'!F50</f>
        <v>0.27733226837980185</v>
      </c>
    </row>
    <row r="25" spans="1:4">
      <c r="A25" s="52" t="s">
        <v>36</v>
      </c>
      <c r="B25" s="29">
        <f>BC!M267</f>
        <v>0.54149798538007021</v>
      </c>
      <c r="C25" s="29">
        <f>BC!M268</f>
        <v>0.39729991428350803</v>
      </c>
      <c r="D25" s="29">
        <f>BC!M269</f>
        <v>0.36040883022102832</v>
      </c>
    </row>
    <row r="26" spans="1:4">
      <c r="A26" s="52" t="s">
        <v>487</v>
      </c>
      <c r="B26" s="29">
        <f>'CANADA TABLE TO 13-14'!I91</f>
        <v>0.51491219233502172</v>
      </c>
      <c r="C26" s="29">
        <f>'CANADA TABLE TO 13-14'!I92</f>
        <v>0.36456053982109504</v>
      </c>
      <c r="D26" s="29">
        <f>'CANADA TABLE TO 13-14'!I93</f>
        <v>0.31275944432877606</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5:N12"/>
  <sheetViews>
    <sheetView workbookViewId="0">
      <selection activeCell="F9" sqref="F9"/>
    </sheetView>
  </sheetViews>
  <sheetFormatPr defaultRowHeight="12.75"/>
  <cols>
    <col min="1" max="1" width="32.5703125" bestFit="1" customWidth="1"/>
  </cols>
  <sheetData>
    <row r="5" spans="1:14">
      <c r="B5" t="s">
        <v>58</v>
      </c>
      <c r="C5" t="s">
        <v>181</v>
      </c>
      <c r="D5" t="s">
        <v>353</v>
      </c>
    </row>
    <row r="6" spans="1:14">
      <c r="A6" t="s">
        <v>388</v>
      </c>
      <c r="B6">
        <f>'SA by provi 05-06'!B10</f>
        <v>37.799999999999997</v>
      </c>
      <c r="C6">
        <f>'SA $ by prov 09-10'!B10</f>
        <v>42.2</v>
      </c>
      <c r="D6" s="29">
        <f t="shared" ref="D6:D12" si="0">(C6-B6)/B6</f>
        <v>0.11640211640211656</v>
      </c>
    </row>
    <row r="7" spans="1:14">
      <c r="A7" t="s">
        <v>350</v>
      </c>
      <c r="B7" s="9">
        <f>0.44*'SA by provi 05-06'!B13</f>
        <v>1180.2560000000001</v>
      </c>
      <c r="C7" s="9">
        <f>'SA $ by prov 09-10'!B83</f>
        <v>1273.8948014735979</v>
      </c>
      <c r="D7" s="29">
        <f t="shared" si="0"/>
        <v>7.9337704255346142E-2</v>
      </c>
      <c r="F7" t="s">
        <v>405</v>
      </c>
    </row>
    <row r="8" spans="1:14">
      <c r="A8" t="s">
        <v>351</v>
      </c>
      <c r="B8" s="9">
        <f>'SA by provi 05-06'!B16</f>
        <v>2432.5</v>
      </c>
      <c r="C8" s="9">
        <f>'SA $ by prov 09-10'!B16</f>
        <v>3294.5</v>
      </c>
      <c r="D8" s="29">
        <f t="shared" si="0"/>
        <v>0.35436793422404933</v>
      </c>
    </row>
    <row r="9" spans="1:14" ht="15.75">
      <c r="A9" t="s">
        <v>377</v>
      </c>
      <c r="B9" s="9">
        <f>'SA by provi 05-06'!B20+'SA by provi 05-06'!B21</f>
        <v>155.9</v>
      </c>
      <c r="C9" s="9">
        <f>'SA $ by prov 09-10'!B73+'SA $ by prov 09-10'!B75</f>
        <v>176.9</v>
      </c>
      <c r="D9" s="29">
        <f t="shared" si="0"/>
        <v>0.13470173187940987</v>
      </c>
      <c r="F9" s="152" t="s">
        <v>489</v>
      </c>
      <c r="G9" s="152"/>
      <c r="H9" s="152"/>
      <c r="I9" s="152"/>
      <c r="J9" s="152"/>
      <c r="K9" s="152"/>
      <c r="L9" s="152"/>
      <c r="M9" s="152"/>
      <c r="N9" s="136"/>
    </row>
    <row r="10" spans="1:14" ht="15.75">
      <c r="A10" t="s">
        <v>414</v>
      </c>
      <c r="B10" s="9">
        <f>'SA by provi 05-06'!B30</f>
        <v>112</v>
      </c>
      <c r="C10" s="9">
        <f>'SA $ by prov 09-10'!B29</f>
        <v>153.1</v>
      </c>
      <c r="D10" s="29">
        <f t="shared" si="0"/>
        <v>0.36696428571428569</v>
      </c>
      <c r="F10" s="152" t="s">
        <v>490</v>
      </c>
      <c r="G10" s="152"/>
      <c r="H10" s="152"/>
      <c r="I10" s="152"/>
      <c r="J10" s="152"/>
      <c r="K10" s="152"/>
      <c r="L10" s="152"/>
      <c r="M10" s="152"/>
      <c r="N10" s="136"/>
    </row>
    <row r="11" spans="1:14">
      <c r="A11" t="s">
        <v>52</v>
      </c>
      <c r="B11" s="9">
        <f>'SA by provi 05-06'!B44</f>
        <v>340.1</v>
      </c>
      <c r="C11" s="9">
        <f>'SA $ by prov 09-10'!B43</f>
        <v>517.70000000000005</v>
      </c>
      <c r="D11" s="29">
        <f t="shared" si="0"/>
        <v>0.52219935313143195</v>
      </c>
    </row>
    <row r="12" spans="1:14">
      <c r="A12" t="s">
        <v>352</v>
      </c>
      <c r="B12" s="9">
        <f>'SA by provi 05-06'!B35</f>
        <v>576.1</v>
      </c>
      <c r="C12" s="9">
        <f>'SA $ by prov 09-10'!B34</f>
        <v>732.3</v>
      </c>
      <c r="D12" s="29">
        <f t="shared" si="0"/>
        <v>0.27113348377017865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E41"/>
  <sheetViews>
    <sheetView topLeftCell="A4" workbookViewId="0">
      <selection activeCell="O26" sqref="O26"/>
    </sheetView>
  </sheetViews>
  <sheetFormatPr defaultRowHeight="12.75"/>
  <cols>
    <col min="1" max="1" width="25.5703125" bestFit="1" customWidth="1"/>
  </cols>
  <sheetData>
    <row r="1" spans="1:5">
      <c r="A1" t="s">
        <v>390</v>
      </c>
    </row>
    <row r="3" spans="1:5">
      <c r="B3" s="134" t="s">
        <v>216</v>
      </c>
      <c r="C3" s="134" t="s">
        <v>320</v>
      </c>
      <c r="D3" s="134" t="s">
        <v>411</v>
      </c>
      <c r="E3" s="134" t="s">
        <v>36</v>
      </c>
    </row>
    <row r="4" spans="1:5">
      <c r="A4" t="s">
        <v>11</v>
      </c>
      <c r="B4" s="29">
        <f>'CAN &amp; ON input to 2013-14'!R55</f>
        <v>6.8214256436128509E-2</v>
      </c>
      <c r="C4" s="29">
        <f>Manitoba!O256</f>
        <v>8.7152699812094489E-2</v>
      </c>
      <c r="D4" s="29">
        <f>Alberta!P261</f>
        <v>9.1771646337791932E-2</v>
      </c>
      <c r="E4" s="29">
        <f>BC!P255</f>
        <v>7.3632063084348054E-2</v>
      </c>
    </row>
    <row r="5" spans="1:5">
      <c r="A5" t="s">
        <v>179</v>
      </c>
      <c r="B5" s="29">
        <f>'CAN &amp; ON input to 2013-14'!R56</f>
        <v>0.14866388908990713</v>
      </c>
      <c r="C5" s="29">
        <f>Manitoba!O257</f>
        <v>0.15670609924719617</v>
      </c>
      <c r="D5" s="29">
        <f>Alberta!P262</f>
        <v>0.13583682450412468</v>
      </c>
      <c r="E5" s="29">
        <f>BC!P256</f>
        <v>0.16430938700562722</v>
      </c>
    </row>
    <row r="6" spans="1:5">
      <c r="A6" t="s">
        <v>6</v>
      </c>
      <c r="B6" s="29">
        <f>'CAN &amp; ON input to 2013-14'!R57</f>
        <v>2.646804260208253E-2</v>
      </c>
      <c r="C6" s="29">
        <f>Manitoba!O258</f>
        <v>4.148102627131664E-2</v>
      </c>
      <c r="D6" s="29">
        <f>Alberta!P263</f>
        <v>3.6949260281152224E-2</v>
      </c>
      <c r="E6" s="29">
        <f>BC!P257</f>
        <v>4.5121089537342444E-2</v>
      </c>
    </row>
    <row r="7" spans="1:5">
      <c r="A7" t="s">
        <v>101</v>
      </c>
      <c r="B7" s="29">
        <f>'CAN &amp; ON input to 2013-14'!R58</f>
        <v>6.0286820205573258E-2</v>
      </c>
      <c r="C7" s="29">
        <f>Manitoba!O259</f>
        <v>0.10796766607182952</v>
      </c>
      <c r="D7" s="29">
        <f>Alberta!P264</f>
        <v>8.2607613282054834E-2</v>
      </c>
      <c r="E7" s="29">
        <f>BC!P258</f>
        <v>0.10614440861745822</v>
      </c>
    </row>
    <row r="8" spans="1:5">
      <c r="A8" s="74" t="s">
        <v>233</v>
      </c>
      <c r="B8" s="29">
        <f>'CAN &amp; ON input to 2013-14'!R59</f>
        <v>0.28274632410039202</v>
      </c>
      <c r="C8" s="29">
        <f>Manitoba!O260</f>
        <v>0.20905964522495479</v>
      </c>
      <c r="D8" s="29">
        <f>Alberta!P265</f>
        <v>6.2924713560004508E-2</v>
      </c>
      <c r="E8" s="29">
        <f>BC!P259</f>
        <v>0.1994096189993716</v>
      </c>
    </row>
    <row r="9" spans="1:5">
      <c r="A9" t="s">
        <v>375</v>
      </c>
      <c r="B9" s="29">
        <f>'CAN &amp; ON input to 2013-14'!R60</f>
        <v>5.5888421992464805E-3</v>
      </c>
      <c r="C9" s="29">
        <f>Manitoba!O261</f>
        <v>0.1119928619544536</v>
      </c>
      <c r="D9" s="29">
        <f>Alberta!P266</f>
        <v>3.1149993734243906E-2</v>
      </c>
      <c r="E9" s="29">
        <f>BC!P260</f>
        <v>1.479710323149782E-2</v>
      </c>
    </row>
    <row r="10" spans="1:5">
      <c r="A10" t="s">
        <v>412</v>
      </c>
      <c r="B10" s="29"/>
      <c r="C10" s="29"/>
      <c r="D10" s="29">
        <f>Alberta!P268</f>
        <v>0.21277677472249731</v>
      </c>
      <c r="E10" s="29"/>
    </row>
    <row r="11" spans="1:5">
      <c r="A11" t="s">
        <v>369</v>
      </c>
      <c r="B11" s="29">
        <f>'CAN &amp; ON input to 2013-14'!R62</f>
        <v>0.20102495521030453</v>
      </c>
      <c r="C11" s="29">
        <f>Manitoba!O263</f>
        <v>0.13791554888497581</v>
      </c>
      <c r="D11" s="29">
        <f>Alberta!P270</f>
        <v>0.12650703353213186</v>
      </c>
      <c r="E11" s="29">
        <f>BC!P262</f>
        <v>0.18446002445742771</v>
      </c>
    </row>
    <row r="12" spans="1:5">
      <c r="A12" t="s">
        <v>180</v>
      </c>
      <c r="B12" s="29">
        <f>'CAN &amp; ON input to 2013-14'!R63</f>
        <v>0.20700687015636532</v>
      </c>
      <c r="C12" s="29">
        <f>Manitoba!O264</f>
        <v>0.1477244525331789</v>
      </c>
      <c r="D12" s="29">
        <f>Alberta!P271</f>
        <v>0.21947614004599875</v>
      </c>
      <c r="E12" s="29">
        <f>BC!P263</f>
        <v>0.21212630506692678</v>
      </c>
    </row>
    <row r="13" spans="1:5">
      <c r="B13" s="29"/>
      <c r="C13" s="29"/>
      <c r="D13" s="29"/>
      <c r="E13" s="29"/>
    </row>
    <row r="16" spans="1:5">
      <c r="A16" t="s">
        <v>391</v>
      </c>
    </row>
    <row r="18" spans="1:5">
      <c r="B18" s="134" t="s">
        <v>216</v>
      </c>
      <c r="C18" s="134" t="s">
        <v>320</v>
      </c>
      <c r="D18" s="134" t="s">
        <v>411</v>
      </c>
      <c r="E18" s="134" t="s">
        <v>36</v>
      </c>
    </row>
    <row r="19" spans="1:5">
      <c r="A19" t="s">
        <v>11</v>
      </c>
      <c r="B19" s="29">
        <f>'CAN &amp; ON input to 2013-14'!P55</f>
        <v>7.0475897452849198E-2</v>
      </c>
      <c r="C19" s="29">
        <f>Manitoba!N256</f>
        <v>8.5539664370457E-2</v>
      </c>
      <c r="D19" s="29">
        <f>Alberta!O261</f>
        <v>9.2514484113435685E-2</v>
      </c>
      <c r="E19" s="29">
        <f>BC!O255</f>
        <v>7.212254408624337E-2</v>
      </c>
    </row>
    <row r="20" spans="1:5">
      <c r="A20" t="s">
        <v>179</v>
      </c>
      <c r="B20" s="29">
        <f>'CAN &amp; ON input to 2013-14'!P56</f>
        <v>0.16152911687880739</v>
      </c>
      <c r="C20" s="29">
        <f>Manitoba!N257</f>
        <v>0.15234600449875271</v>
      </c>
      <c r="D20" s="29">
        <f>Alberta!O262</f>
        <v>0.16094042997988245</v>
      </c>
      <c r="E20" s="29">
        <f>BC!O256</f>
        <v>0.16413313114363709</v>
      </c>
    </row>
    <row r="21" spans="1:5">
      <c r="A21" t="s">
        <v>6</v>
      </c>
      <c r="B21" s="29">
        <f>'CAN &amp; ON input to 2013-14'!P57</f>
        <v>2.7472451795011649E-2</v>
      </c>
      <c r="C21" s="29">
        <f>Manitoba!N258</f>
        <v>3.8430863702669078E-2</v>
      </c>
      <c r="D21" s="29">
        <f>Alberta!O263</f>
        <v>3.6663322495417087E-2</v>
      </c>
      <c r="E21" s="29">
        <f>BC!O257</f>
        <v>4.2631139419398924E-2</v>
      </c>
    </row>
    <row r="22" spans="1:5">
      <c r="A22" t="s">
        <v>101</v>
      </c>
      <c r="B22" s="29">
        <f>'CAN &amp; ON input to 2013-14'!P58</f>
        <v>5.9828706667319313E-2</v>
      </c>
      <c r="C22" s="29">
        <f>Manitoba!N259</f>
        <v>0.11177182811073047</v>
      </c>
      <c r="D22" s="29">
        <f>Alberta!O264</f>
        <v>8.4357157489455353E-2</v>
      </c>
      <c r="E22" s="29">
        <f>BC!O258</f>
        <v>0.10691656171100761</v>
      </c>
    </row>
    <row r="23" spans="1:5">
      <c r="A23" s="74" t="s">
        <v>233</v>
      </c>
      <c r="B23" s="29">
        <f>'CAN &amp; ON input to 2013-14'!P59</f>
        <v>0.25771978014410268</v>
      </c>
      <c r="C23" s="29">
        <f>Manitoba!N260</f>
        <v>0.21474450362889283</v>
      </c>
      <c r="D23" s="29">
        <f>Alberta!O265</f>
        <v>5.8829399992646324E-2</v>
      </c>
      <c r="E23" s="29">
        <f>BC!O259</f>
        <v>0.18690867138139816</v>
      </c>
    </row>
    <row r="24" spans="1:5">
      <c r="A24" t="s">
        <v>375</v>
      </c>
      <c r="B24" s="29">
        <f>'CAN &amp; ON input to 2013-14'!P60</f>
        <v>6.0136381175659899E-3</v>
      </c>
      <c r="C24" s="29">
        <f>Manitoba!N261</f>
        <v>0.10432119937353559</v>
      </c>
      <c r="D24" s="29">
        <f>Alberta!O266</f>
        <v>3.1085034746114373E-2</v>
      </c>
      <c r="E24" s="29">
        <f>BC!O260</f>
        <v>1.6809127346415969E-2</v>
      </c>
    </row>
    <row r="25" spans="1:5">
      <c r="A25" t="s">
        <v>412</v>
      </c>
      <c r="B25" s="29"/>
      <c r="C25" s="29"/>
      <c r="D25" s="29">
        <f>Alberta!O268</f>
        <v>0.1786417762276698</v>
      </c>
      <c r="E25" s="29"/>
    </row>
    <row r="26" spans="1:5">
      <c r="A26" t="s">
        <v>369</v>
      </c>
      <c r="B26" s="29">
        <f>'CAN &amp; ON input to 2013-14'!P62</f>
        <v>0.2149165771931397</v>
      </c>
      <c r="C26" s="29">
        <f>Manitoba!N263</f>
        <v>0.13168424981989835</v>
      </c>
      <c r="D26" s="29">
        <f>Alberta!O270</f>
        <v>0.15474233248065722</v>
      </c>
      <c r="E26" s="29">
        <f>BC!O262</f>
        <v>0.20835401624914757</v>
      </c>
    </row>
    <row r="27" spans="1:5">
      <c r="A27" t="s">
        <v>180</v>
      </c>
      <c r="B27" s="29">
        <f>'CAN &amp; ON input to 2013-14'!P63</f>
        <v>0.20204383175120405</v>
      </c>
      <c r="C27" s="29">
        <f>Manitoba!N264</f>
        <v>0.1611616864950639</v>
      </c>
      <c r="D27" s="29">
        <f>Alberta!O271</f>
        <v>0.20222606247472175</v>
      </c>
      <c r="E27" s="29">
        <f>BC!O263</f>
        <v>0.20212480866275134</v>
      </c>
    </row>
    <row r="28" spans="1:5">
      <c r="B28" s="29"/>
      <c r="C28" s="29"/>
      <c r="D28" s="29"/>
      <c r="E28" s="29"/>
    </row>
    <row r="30" spans="1:5">
      <c r="A30" t="s">
        <v>406</v>
      </c>
    </row>
    <row r="31" spans="1:5">
      <c r="B31" s="134" t="s">
        <v>216</v>
      </c>
      <c r="C31" s="134" t="s">
        <v>320</v>
      </c>
      <c r="D31" s="134" t="s">
        <v>411</v>
      </c>
      <c r="E31" s="134" t="s">
        <v>36</v>
      </c>
    </row>
    <row r="32" spans="1:5">
      <c r="A32" t="s">
        <v>11</v>
      </c>
      <c r="B32" s="29">
        <f>'ONT TABLE TO 11-12'!I16</f>
        <v>0.19487364512394942</v>
      </c>
      <c r="C32" s="29">
        <f>Manitoba!E256</f>
        <v>0.18753623188405785</v>
      </c>
      <c r="D32" s="29">
        <f>Alberta!E261</f>
        <v>0.26773689888150781</v>
      </c>
      <c r="E32" s="29">
        <f>BC!E255</f>
        <v>0.21638326585695011</v>
      </c>
    </row>
    <row r="33" spans="1:5">
      <c r="A33" t="s">
        <v>179</v>
      </c>
      <c r="B33" s="29">
        <f>'ONT TABLE TO 11-12'!I19</f>
        <v>0.13616686343959081</v>
      </c>
      <c r="C33" s="29">
        <f>Manitoba!E257</f>
        <v>0.19891500904159132</v>
      </c>
      <c r="D33" s="29">
        <f>Alberta!E262</f>
        <v>7.8655352480417828E-2</v>
      </c>
      <c r="E33" s="29">
        <f>BC!E256</f>
        <v>0.19272583514528563</v>
      </c>
    </row>
    <row r="34" spans="1:5">
      <c r="A34" t="s">
        <v>6</v>
      </c>
      <c r="B34" s="29">
        <f>'ONT TABLE TO 11-12'!I20</f>
        <v>0.18935595834940211</v>
      </c>
      <c r="C34" s="29">
        <f>Manitoba!E258</f>
        <v>0.25806451612903236</v>
      </c>
      <c r="D34" s="29">
        <f>Alberta!E263</f>
        <v>0.28796561604584542</v>
      </c>
      <c r="E34" s="29">
        <f>BC!E257</f>
        <v>0.26103500761034992</v>
      </c>
    </row>
    <row r="35" spans="1:5">
      <c r="A35" t="s">
        <v>101</v>
      </c>
      <c r="B35" s="29">
        <f>'ONT TABLE TO 11-12'!I24</f>
        <v>0</v>
      </c>
      <c r="C35" s="29">
        <f>Manitoba!E259</f>
        <v>0.12588731144631751</v>
      </c>
      <c r="D35" s="29">
        <f>Alberta!E264</f>
        <v>0.25149315068493155</v>
      </c>
      <c r="E35" s="29">
        <f>BC!E258</f>
        <v>0.1828417449566673</v>
      </c>
    </row>
    <row r="36" spans="1:5">
      <c r="A36" s="74" t="s">
        <v>233</v>
      </c>
      <c r="B36" s="29">
        <f>'ONT TABLE TO 11-12'!I28</f>
        <v>0.35436793422404933</v>
      </c>
      <c r="C36" s="29">
        <f>Manitoba!E260</f>
        <v>0.13470173187940987</v>
      </c>
      <c r="D36" s="29">
        <f>Alberta!E265</f>
        <v>0.36696428571428569</v>
      </c>
      <c r="E36" s="29">
        <f>BC!E259</f>
        <v>0.27113348377017865</v>
      </c>
    </row>
    <row r="37" spans="1:5">
      <c r="A37" t="s">
        <v>375</v>
      </c>
      <c r="B37" s="29">
        <f>'ONT TABLE TO 11-12'!I29</f>
        <v>0.14728682170542634</v>
      </c>
      <c r="C37" s="29">
        <f>Manitoba!E261</f>
        <v>0.25127087872185933</v>
      </c>
      <c r="D37" s="29">
        <f>Alberta!E266</f>
        <v>0.28066914498141277</v>
      </c>
      <c r="E37" s="29">
        <f>BC!E260</f>
        <v>4.8832271762208085E-2</v>
      </c>
    </row>
    <row r="38" spans="1:5">
      <c r="A38" t="s">
        <v>412</v>
      </c>
      <c r="B38" s="29"/>
      <c r="C38" s="29"/>
      <c r="D38" s="29">
        <f>Alberta!E268</f>
        <v>0.52219935313143195</v>
      </c>
      <c r="E38" s="29"/>
    </row>
    <row r="39" spans="1:5">
      <c r="A39" t="s">
        <v>369</v>
      </c>
      <c r="B39" s="29">
        <f>'ONT TABLE TO 11-12'!I35</f>
        <v>0.15469558787281251</v>
      </c>
      <c r="C39" s="29">
        <f>Manitoba!E263</f>
        <v>0.2207112970711298</v>
      </c>
      <c r="D39" s="29">
        <f>Alberta!E270</f>
        <v>4.4806517311608916E-2</v>
      </c>
      <c r="E39" s="29">
        <f>BC!E262</f>
        <v>5.4811585175957536E-2</v>
      </c>
    </row>
    <row r="40" spans="1:5">
      <c r="A40" t="s">
        <v>180</v>
      </c>
      <c r="B40" s="29">
        <f>'ONT TABLE TO 11-12'!I40</f>
        <v>0.264813843733613</v>
      </c>
      <c r="C40" s="29">
        <f>Manitoba!E264</f>
        <v>6.8376068376068383E-2</v>
      </c>
      <c r="D40" s="29">
        <f>Alberta!E271</f>
        <v>0.38701298701298703</v>
      </c>
      <c r="E40" s="29">
        <f>BC!E263</f>
        <v>0.2504012841091493</v>
      </c>
    </row>
    <row r="41" spans="1:5">
      <c r="A41" t="s">
        <v>407</v>
      </c>
      <c r="B41" s="29">
        <f>'ONT TABLE TO 11-12'!I42</f>
        <v>0.23448963431443767</v>
      </c>
      <c r="C41" s="29">
        <f>Manitoba!E265</f>
        <v>0.16555713044041223</v>
      </c>
      <c r="D41" s="29">
        <f>Alberta!E272</f>
        <v>0.27799848724400023</v>
      </c>
      <c r="E41" s="29">
        <f>BC!E264</f>
        <v>0.19144638955777188</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FF0000"/>
    <pageSetUpPr fitToPage="1"/>
  </sheetPr>
  <dimension ref="A1:X48"/>
  <sheetViews>
    <sheetView topLeftCell="A78" workbookViewId="0">
      <selection activeCell="W115" sqref="V115:W116"/>
    </sheetView>
  </sheetViews>
  <sheetFormatPr defaultRowHeight="12.75"/>
  <cols>
    <col min="11" max="13" width="12.7109375" customWidth="1"/>
  </cols>
  <sheetData>
    <row r="1" spans="1:13" ht="15.75">
      <c r="A1" s="4" t="s">
        <v>1035</v>
      </c>
    </row>
    <row r="2" spans="1:13" ht="15.75">
      <c r="A2" s="4" t="s">
        <v>1036</v>
      </c>
    </row>
    <row r="4" spans="1:13" ht="18">
      <c r="A4" s="233" t="s">
        <v>58</v>
      </c>
    </row>
    <row r="5" spans="1:13" ht="76.5">
      <c r="B5" s="14" t="s">
        <v>11</v>
      </c>
      <c r="C5" s="14" t="s">
        <v>179</v>
      </c>
      <c r="D5" s="14" t="s">
        <v>6</v>
      </c>
      <c r="E5" s="14" t="s">
        <v>478</v>
      </c>
      <c r="F5" s="234" t="s">
        <v>233</v>
      </c>
      <c r="G5" s="43" t="s">
        <v>375</v>
      </c>
      <c r="H5" s="234" t="s">
        <v>686</v>
      </c>
      <c r="I5" s="14" t="s">
        <v>369</v>
      </c>
      <c r="J5" s="14" t="s">
        <v>180</v>
      </c>
      <c r="K5" s="130" t="s">
        <v>501</v>
      </c>
      <c r="L5" s="130" t="s">
        <v>373</v>
      </c>
      <c r="M5" s="130" t="s">
        <v>502</v>
      </c>
    </row>
    <row r="6" spans="1:13">
      <c r="A6" s="52" t="s">
        <v>171</v>
      </c>
      <c r="B6" s="236">
        <f>'CANADA TABLE TO 13-14'!U16</f>
        <v>53.035813378944546</v>
      </c>
      <c r="C6" s="236">
        <f>'CANADA TABLE TO 13-14'!U19</f>
        <v>96.984203763719066</v>
      </c>
      <c r="D6" s="236">
        <f>'CANADA TABLE TO 13-14'!U21</f>
        <v>26.64817009075389</v>
      </c>
      <c r="E6" s="236">
        <f>'CANADA TABLE TO 13-14'!U25</f>
        <v>51.360998219609456</v>
      </c>
      <c r="F6" s="236">
        <f>'CANADA TABLE TO 13-14'!U29</f>
        <v>173.12409226569122</v>
      </c>
      <c r="G6" s="236">
        <f>'CANADA TABLE TO 13-14'!U30</f>
        <v>11.640585659289746</v>
      </c>
      <c r="H6" s="236">
        <f>'CANADA TABLE TO 13-14'!U31</f>
        <v>184.76467792498096</v>
      </c>
      <c r="I6" s="236">
        <f>'CANADA TABLE TO 13-14'!U36</f>
        <v>150.01381412355497</v>
      </c>
      <c r="J6" s="236">
        <f>'CANADA TABLE TO 13-14'!U41</f>
        <v>137.98616007188554</v>
      </c>
      <c r="K6" s="236">
        <f>'CANADA TABLE TO 13-14'!U31</f>
        <v>184.76467792498096</v>
      </c>
      <c r="L6" s="236">
        <f>'CANADA TABLE TO 13-14'!U43</f>
        <v>721.04049194407708</v>
      </c>
      <c r="M6" s="236">
        <f>'CANADA TABLE TO 13-14'!U45</f>
        <v>536.27581401909617</v>
      </c>
    </row>
    <row r="7" spans="1:13">
      <c r="A7" s="52" t="s">
        <v>415</v>
      </c>
      <c r="B7" s="237">
        <f>NFLD!V260</f>
        <v>53.19697072805576</v>
      </c>
      <c r="C7" s="237">
        <f>NFLD!V261</f>
        <v>215.23774340627824</v>
      </c>
      <c r="D7" s="237">
        <f>NFLD!V262</f>
        <v>38.886674508812696</v>
      </c>
      <c r="E7" s="237">
        <f>NFLD!V263</f>
        <v>57.956699687934432</v>
      </c>
      <c r="F7" s="237">
        <f>NFLD!V264</f>
        <v>101.98030389936129</v>
      </c>
      <c r="G7" s="237">
        <f>NFLD!V265</f>
        <v>0.24381944917025561</v>
      </c>
      <c r="H7" s="237">
        <f>NFLD!V266</f>
        <v>102.22412334853155</v>
      </c>
      <c r="I7" s="237">
        <f>NFLD!V267</f>
        <v>143.10296219243071</v>
      </c>
      <c r="J7" s="237">
        <f>NFLD!V268</f>
        <v>106.93835489923491</v>
      </c>
      <c r="K7" s="237">
        <f>NFLD!V272</f>
        <v>102.22412334853155</v>
      </c>
      <c r="L7" s="237">
        <f>NFLD!V273</f>
        <v>717.54352877127815</v>
      </c>
      <c r="M7" s="237">
        <f>NFLD!V274</f>
        <v>615.31940542274663</v>
      </c>
    </row>
    <row r="8" spans="1:13">
      <c r="A8" s="52" t="s">
        <v>29</v>
      </c>
      <c r="B8" s="237">
        <f>PEI!V259</f>
        <v>49.542241279406653</v>
      </c>
      <c r="C8" s="237">
        <f>PEI!V260</f>
        <v>188.31846100359255</v>
      </c>
      <c r="D8" s="237">
        <f>PEI!V261</f>
        <v>57.944141847259239</v>
      </c>
      <c r="E8" s="237">
        <f>PEI!V262</f>
        <v>131.93881098620926</v>
      </c>
      <c r="F8" s="237">
        <f>PEI!V263</f>
        <v>107.95717927917489</v>
      </c>
      <c r="G8" s="237">
        <f>PEI!V264</f>
        <v>3.4777349634951906</v>
      </c>
      <c r="H8" s="237">
        <f>PEI!V265</f>
        <v>111.43491424267008</v>
      </c>
      <c r="I8" s="237">
        <f>PEI!V266</f>
        <v>76.775987947618489</v>
      </c>
      <c r="J8" s="237">
        <f>PEI!V267</f>
        <v>86.916212770888862</v>
      </c>
      <c r="K8" s="237">
        <f>PEI!V271</f>
        <v>111.43491424267008</v>
      </c>
      <c r="L8" s="237">
        <f>PEI!V272</f>
        <v>702.87077007764503</v>
      </c>
      <c r="M8" s="237">
        <f>PEI!V273</f>
        <v>591.43585583497497</v>
      </c>
    </row>
    <row r="9" spans="1:13">
      <c r="A9" s="52" t="s">
        <v>30</v>
      </c>
      <c r="B9" s="237">
        <f>NS!V266</f>
        <v>52.873497039659924</v>
      </c>
      <c r="C9" s="237">
        <f>NS!V267</f>
        <v>249.28057285485963</v>
      </c>
      <c r="D9" s="237">
        <f>NS!V268</f>
        <v>39.556498087747187</v>
      </c>
      <c r="E9" s="237">
        <f>NS!V269</f>
        <v>125.36104633867826</v>
      </c>
      <c r="F9" s="237">
        <f>NS!V270</f>
        <v>127.36979141677304</v>
      </c>
      <c r="G9" s="237">
        <f>NS!V271</f>
        <v>20.583239773152549</v>
      </c>
      <c r="H9" s="237">
        <f>NS!V272</f>
        <v>147.95303118992555</v>
      </c>
      <c r="I9" s="237">
        <f>NS!V273</f>
        <v>161.85111616496019</v>
      </c>
      <c r="J9" s="237">
        <f>NS!V274</f>
        <v>100.22401132744571</v>
      </c>
      <c r="K9" s="237">
        <f>NS!V278</f>
        <v>147.95303118992555</v>
      </c>
      <c r="L9" s="237">
        <f>NS!V279</f>
        <v>877.09977300327648</v>
      </c>
      <c r="M9" s="237">
        <f>NS!V280</f>
        <v>729.1467418133509</v>
      </c>
    </row>
    <row r="10" spans="1:13">
      <c r="A10" s="52" t="s">
        <v>31</v>
      </c>
      <c r="B10" s="237">
        <f>NB!V254</f>
        <v>52.577121131912037</v>
      </c>
      <c r="C10" s="237">
        <f>NB!V255</f>
        <v>184.61480875456525</v>
      </c>
      <c r="D10" s="237">
        <f>NB!V256</f>
        <v>55.879065937297803</v>
      </c>
      <c r="E10" s="237">
        <f>NB!V257</f>
        <v>121.75754367390154</v>
      </c>
      <c r="F10" s="237">
        <f>NB!V258</f>
        <v>50.531786900235815</v>
      </c>
      <c r="G10" s="237">
        <f>NB!V259</f>
        <v>23.307452502793957</v>
      </c>
      <c r="H10" s="237">
        <f>NB!V260</f>
        <v>73.839239403029765</v>
      </c>
      <c r="I10" s="237">
        <f>NB!V261</f>
        <v>93.176337220805195</v>
      </c>
      <c r="J10" s="237">
        <f>NB!V262</f>
        <v>105.60876098197433</v>
      </c>
      <c r="K10" s="237">
        <f>NB!V266</f>
        <v>73.839239403029765</v>
      </c>
      <c r="L10" s="237">
        <f>NB!V267</f>
        <v>687.45287710348589</v>
      </c>
      <c r="M10" s="237">
        <f>NB!V268</f>
        <v>613.61363770045614</v>
      </c>
    </row>
    <row r="11" spans="1:13">
      <c r="A11" s="52" t="s">
        <v>416</v>
      </c>
      <c r="B11" s="237">
        <f>QUE!V265</f>
        <v>53.006176337441389</v>
      </c>
      <c r="C11" s="237">
        <f>QUE!V267</f>
        <v>86.107831064033206</v>
      </c>
      <c r="D11" s="237">
        <f>QUE!V268</f>
        <v>32.303627186859266</v>
      </c>
      <c r="E11" s="237">
        <f>QUE!V269</f>
        <v>26.867542729428301</v>
      </c>
      <c r="F11" s="237">
        <f>QUE!V270</f>
        <v>155.68211436934985</v>
      </c>
      <c r="G11" s="237">
        <f>QUE!V271</f>
        <v>3.8668061697949345</v>
      </c>
      <c r="H11" s="237">
        <f>QUE!V272</f>
        <v>159.5489205391448</v>
      </c>
      <c r="I11" s="237">
        <f>QUE!V273</f>
        <v>161.86108991831364</v>
      </c>
      <c r="J11" s="237">
        <f>QUE!V274</f>
        <v>141.40256571789766</v>
      </c>
      <c r="K11" s="237">
        <f>QUE!V278</f>
        <v>159.5489205391448</v>
      </c>
      <c r="L11" s="237">
        <f>QUE!V279</f>
        <v>663.07633417014108</v>
      </c>
      <c r="M11" s="237">
        <f>QUE!V280</f>
        <v>503.52741363099625</v>
      </c>
    </row>
    <row r="12" spans="1:13">
      <c r="A12" s="52" t="s">
        <v>485</v>
      </c>
      <c r="B12" s="237">
        <f>'ONT input 09-10 &amp; 13-14 charts'!O13</f>
        <v>53.096306749925567</v>
      </c>
      <c r="C12" s="237">
        <f>'ONT input 09-10 &amp; 13-14 charts'!O16</f>
        <v>121.69549943765919</v>
      </c>
      <c r="D12" s="237">
        <f>'ONT input 09-10 &amp; 13-14 charts'!O18</f>
        <v>20.697653813580629</v>
      </c>
      <c r="E12" s="237">
        <f>'ONT input 09-10 &amp; 13-14 charts'!O23</f>
        <v>45.074748622883639</v>
      </c>
      <c r="F12" s="237">
        <f>'ONT input 09-10 &amp; 13-14 charts'!O26</f>
        <v>194.16522522767019</v>
      </c>
      <c r="G12" s="237">
        <f>'ONT input 09-10 &amp; 13-14 charts'!O27</f>
        <v>4.5306549574193475</v>
      </c>
      <c r="H12" s="237">
        <f>'ONT input 09-10 &amp; 13-14 charts'!O28</f>
        <v>198.69588018508955</v>
      </c>
      <c r="I12" s="237">
        <f>'ONT input 09-10 &amp; 13-14 charts'!O31</f>
        <v>161.9174344807108</v>
      </c>
      <c r="J12" s="237">
        <f>'ONT input 09-10 &amp; 13-14 charts'!O38</f>
        <v>152.21915087735542</v>
      </c>
      <c r="K12" s="237">
        <f>'ONT input 09-10 &amp; 13-14 charts'!O28</f>
        <v>198.69588018508955</v>
      </c>
      <c r="L12" s="237">
        <f>'ONT input 09-10 &amp; 13-14 charts'!O40</f>
        <v>753.39667416720476</v>
      </c>
      <c r="M12" s="237">
        <f>'ONT input 09-10 &amp; 13-14 charts'!O42</f>
        <v>554.70079398211521</v>
      </c>
    </row>
    <row r="13" spans="1:13">
      <c r="A13" s="52" t="s">
        <v>34</v>
      </c>
      <c r="B13" s="237">
        <f>Manitoba!V256</f>
        <v>52.703225675042603</v>
      </c>
      <c r="C13" s="237">
        <f>Manitoba!V257</f>
        <v>93.864360058932562</v>
      </c>
      <c r="D13" s="237">
        <f>Manitoba!V258</f>
        <v>23.678260810526389</v>
      </c>
      <c r="E13" s="237">
        <f>Manitoba!V259</f>
        <v>68.865548215388998</v>
      </c>
      <c r="F13" s="237">
        <f>Manitoba!V260</f>
        <v>132.30970825666896</v>
      </c>
      <c r="G13" s="237">
        <f>Manitoba!V261</f>
        <v>64.275020877606309</v>
      </c>
      <c r="H13" s="237">
        <f>Manitoba!V262</f>
        <v>196.58472913427525</v>
      </c>
      <c r="I13" s="237">
        <f>Manitoba!V263</f>
        <v>81.134112311337731</v>
      </c>
      <c r="J13" s="237">
        <f>Manitoba!V264</f>
        <v>99.295932431239692</v>
      </c>
      <c r="K13" s="237">
        <f>Manitoba!V269</f>
        <v>196.58472913427525</v>
      </c>
      <c r="L13" s="237">
        <f>Manitoba!V270</f>
        <v>616.12616863674327</v>
      </c>
      <c r="M13" s="237">
        <f>Manitoba!V271</f>
        <v>419.54143950246799</v>
      </c>
    </row>
    <row r="14" spans="1:13">
      <c r="A14" s="52" t="s">
        <v>685</v>
      </c>
      <c r="B14" s="237">
        <f>SASK!V263</f>
        <v>53.355584118334441</v>
      </c>
      <c r="C14" s="237">
        <f>SASK!V264</f>
        <v>81.024797614146834</v>
      </c>
      <c r="D14" s="237">
        <f>SASK!V265</f>
        <v>16.708219135339597</v>
      </c>
      <c r="E14" s="237">
        <f>SASK!V266</f>
        <v>60.00465011881959</v>
      </c>
      <c r="F14" s="237">
        <f>SASK!V267</f>
        <v>111.10462465388321</v>
      </c>
      <c r="G14" s="237">
        <f>SASK!V268</f>
        <v>61.171205900618311</v>
      </c>
      <c r="H14" s="237">
        <f>SASK!V269</f>
        <v>172.27583055450154</v>
      </c>
      <c r="I14" s="237">
        <f>SASK!V272</f>
        <v>113.63602050480965</v>
      </c>
      <c r="J14" s="237">
        <f>SASK!V273</f>
        <v>92.599768701882084</v>
      </c>
      <c r="K14" s="237">
        <f>SASK!V277</f>
        <v>172.27583055450154</v>
      </c>
      <c r="L14" s="237">
        <f>SASK!V278</f>
        <v>589.60487074783373</v>
      </c>
      <c r="M14" s="237">
        <f>SASK!V279</f>
        <v>417.32904019333228</v>
      </c>
    </row>
    <row r="15" spans="1:13">
      <c r="A15" s="52" t="s">
        <v>392</v>
      </c>
      <c r="B15" s="237">
        <f>Alberta!V261</f>
        <v>53.025043668214295</v>
      </c>
      <c r="C15" s="237">
        <f>Alberta!V262</f>
        <v>92.243646056554027</v>
      </c>
      <c r="D15" s="237">
        <f>Alberta!V263</f>
        <v>21.013728768758064</v>
      </c>
      <c r="E15" s="237">
        <f>Alberta!V264</f>
        <v>48.349639545308669</v>
      </c>
      <c r="F15" s="237">
        <f>Alberta!V265+Alberta!V268</f>
        <v>136.10754693919085</v>
      </c>
      <c r="G15" s="237">
        <f>Alberta!V266</f>
        <v>17.816511010531553</v>
      </c>
      <c r="H15" s="237">
        <f>Alberta!V269</f>
        <v>153.9240579497224</v>
      </c>
      <c r="I15" s="237">
        <f>Alberta!V270</f>
        <v>88.691181880746782</v>
      </c>
      <c r="J15" s="237">
        <f>Alberta!V271</f>
        <v>115.90667014286325</v>
      </c>
      <c r="K15" s="237">
        <f>Alberta!V275</f>
        <v>153.9240579497224</v>
      </c>
      <c r="L15" s="237">
        <f>Alberta!V278</f>
        <v>573.15396801216752</v>
      </c>
      <c r="M15" s="237">
        <f>Alberta!V279</f>
        <v>419.22991006244507</v>
      </c>
    </row>
    <row r="16" spans="1:13">
      <c r="A16" s="52" t="s">
        <v>36</v>
      </c>
      <c r="B16" s="236">
        <f>BC!V255</f>
        <v>52.982007567632493</v>
      </c>
      <c r="C16" s="236">
        <f>BC!V256</f>
        <v>120.57398843214251</v>
      </c>
      <c r="D16" s="236">
        <f>BC!V257</f>
        <v>31.317300019734191</v>
      </c>
      <c r="E16" s="236">
        <f>BC!V258</f>
        <v>78.542072433053917</v>
      </c>
      <c r="F16" s="236">
        <f>BC!V259</f>
        <v>137.30514871665804</v>
      </c>
      <c r="G16" s="236">
        <f>BC!V260</f>
        <v>12.34816829545227</v>
      </c>
      <c r="H16" s="236">
        <f>BC!V261</f>
        <v>149.65331701211034</v>
      </c>
      <c r="I16" s="236">
        <f>BC!V262</f>
        <v>153.05913297316056</v>
      </c>
      <c r="J16" s="236">
        <f>BC!V263</f>
        <v>148.48308913466059</v>
      </c>
      <c r="K16" s="236">
        <f>BC!V267</f>
        <v>149.65331701211034</v>
      </c>
      <c r="L16" s="236">
        <f>BC!V268</f>
        <v>734.61090757249451</v>
      </c>
      <c r="M16" s="236">
        <f>BC!V269</f>
        <v>584.95759056038423</v>
      </c>
    </row>
    <row r="20" spans="1:13" ht="18">
      <c r="A20" s="233" t="s">
        <v>824</v>
      </c>
    </row>
    <row r="21" spans="1:13" ht="76.5">
      <c r="B21" s="14" t="s">
        <v>11</v>
      </c>
      <c r="C21" s="14" t="s">
        <v>179</v>
      </c>
      <c r="D21" s="14" t="s">
        <v>6</v>
      </c>
      <c r="E21" s="14" t="s">
        <v>478</v>
      </c>
      <c r="F21" s="234" t="s">
        <v>233</v>
      </c>
      <c r="G21" s="43" t="s">
        <v>375</v>
      </c>
      <c r="H21" s="234" t="s">
        <v>686</v>
      </c>
      <c r="I21" s="14" t="s">
        <v>369</v>
      </c>
      <c r="J21" s="14" t="s">
        <v>180</v>
      </c>
      <c r="K21" s="130" t="s">
        <v>501</v>
      </c>
      <c r="L21" s="130" t="s">
        <v>373</v>
      </c>
      <c r="M21" s="130" t="s">
        <v>502</v>
      </c>
    </row>
    <row r="22" spans="1:13">
      <c r="A22" s="52" t="s">
        <v>171</v>
      </c>
      <c r="B22" s="236">
        <f>'CANADA TABLE TO 13-14'!X16</f>
        <v>71.727754454573386</v>
      </c>
      <c r="C22" s="236">
        <f>'CANADA TABLE TO 13-14'!X19</f>
        <v>113.83709842946618</v>
      </c>
      <c r="D22" s="236">
        <f>'CANADA TABLE TO 13-14'!X21</f>
        <v>36.31864249743689</v>
      </c>
      <c r="E22" s="236">
        <f>'CANADA TABLE TO 13-14'!X25</f>
        <v>57.581318928227994</v>
      </c>
      <c r="F22" s="236">
        <f>'CANADA TABLE TO 13-14'!X29</f>
        <v>241.90075805175772</v>
      </c>
      <c r="G22" s="236">
        <f>'CANADA TABLE TO 13-14'!X30</f>
        <v>14.807606627913314</v>
      </c>
      <c r="H22" s="236">
        <f>'CANADA TABLE TO 13-14'!X31</f>
        <v>256.70836467967098</v>
      </c>
      <c r="I22" s="236">
        <f>'CANADA TABLE TO 13-14'!X36</f>
        <v>153.6071497662428</v>
      </c>
      <c r="J22" s="236">
        <f>'CANADA TABLE TO 13-14'!X41</f>
        <v>190.83785441361536</v>
      </c>
      <c r="K22" s="236">
        <f>'CANADA TABLE TO 13-14'!X31</f>
        <v>256.70836467967098</v>
      </c>
      <c r="L22" s="236">
        <f>'CANADA TABLE TO 13-14'!X43</f>
        <v>902.37295900103163</v>
      </c>
      <c r="M22" s="236">
        <f>'CANADA TABLE TO 13-14'!X45</f>
        <v>645.6645943213606</v>
      </c>
    </row>
    <row r="23" spans="1:13">
      <c r="A23" s="52" t="s">
        <v>415</v>
      </c>
      <c r="B23" s="236">
        <f>NFLD!Y260</f>
        <v>71.634767441199813</v>
      </c>
      <c r="C23" s="236">
        <f>NFLD!Y261</f>
        <v>235.40908720741945</v>
      </c>
      <c r="D23" s="236">
        <f>NFLD!Y262</f>
        <v>71.588604154790474</v>
      </c>
      <c r="E23" s="236">
        <f>NFLD!Y263</f>
        <v>71.967379838149157</v>
      </c>
      <c r="F23" s="236">
        <f>NFLD!Y264</f>
        <v>106.81474270714769</v>
      </c>
      <c r="G23" s="236">
        <f>NFLD!Y265</f>
        <v>0.58584666781561956</v>
      </c>
      <c r="H23" s="236">
        <f>NFLD!Y266</f>
        <v>107.4005893749633</v>
      </c>
      <c r="I23" s="236">
        <f>NFLD!Y267</f>
        <v>171.20660887812323</v>
      </c>
      <c r="J23" s="236">
        <f>NFLD!Y268</f>
        <v>187.49396326254646</v>
      </c>
      <c r="K23" s="236">
        <f>NFLD!Y272</f>
        <v>107.4005893749633</v>
      </c>
      <c r="L23" s="236">
        <f>NFLD!Y269</f>
        <v>916.70100015719197</v>
      </c>
      <c r="M23" s="236">
        <f>NFLD!Y274</f>
        <v>809.30041078222871</v>
      </c>
    </row>
    <row r="24" spans="1:13">
      <c r="A24" s="52" t="s">
        <v>29</v>
      </c>
      <c r="B24" s="236">
        <f>PEI!Y259</f>
        <v>66.129358296491375</v>
      </c>
      <c r="C24" s="236">
        <f>PEI!Y260</f>
        <v>226.8961297020785</v>
      </c>
      <c r="D24" s="236">
        <f>PEI!Y261</f>
        <v>107.94755261583735</v>
      </c>
      <c r="E24" s="236">
        <f>PEI!Y262</f>
        <v>140.95062602704877</v>
      </c>
      <c r="F24" s="236">
        <f>PEI!Y263</f>
        <v>133.86871652422633</v>
      </c>
      <c r="G24" s="236">
        <f>PEI!Y264</f>
        <v>3.9499384630193686</v>
      </c>
      <c r="H24" s="236">
        <f>PEI!Y265</f>
        <v>137.81865498724568</v>
      </c>
      <c r="I24" s="236">
        <f>PEI!Y266</f>
        <v>107.94755261583735</v>
      </c>
      <c r="J24" s="236">
        <f>PEI!Y267</f>
        <v>178.76664764406186</v>
      </c>
      <c r="K24" s="236">
        <f>PEI!Y271</f>
        <v>137.81865498724568</v>
      </c>
      <c r="L24" s="236">
        <f>PEI!Y268</f>
        <v>966.45652188860106</v>
      </c>
      <c r="M24" s="236">
        <f>PEI!Y273</f>
        <v>828.63786690135532</v>
      </c>
    </row>
    <row r="25" spans="1:13">
      <c r="A25" s="52" t="s">
        <v>30</v>
      </c>
      <c r="B25" s="236">
        <f>NS!Y266</f>
        <v>72.199920253745773</v>
      </c>
      <c r="C25" s="236">
        <f>NS!Y267</f>
        <v>284.6262583630172</v>
      </c>
      <c r="D25" s="236">
        <f>NS!Y268</f>
        <v>63.521284932730005</v>
      </c>
      <c r="E25" s="236">
        <f>NS!Y269</f>
        <v>203.50141199650898</v>
      </c>
      <c r="F25" s="236">
        <f>NS!Y270</f>
        <v>158.73216181278505</v>
      </c>
      <c r="G25" s="236">
        <f>NS!Y271</f>
        <v>21.556791104050831</v>
      </c>
      <c r="H25" s="236">
        <f>NS!Y272</f>
        <v>180.28895291683585</v>
      </c>
      <c r="I25" s="236">
        <f>NS!Y273</f>
        <v>170.41520014507032</v>
      </c>
      <c r="J25" s="236">
        <f>NS!Y274</f>
        <v>199.36563551507913</v>
      </c>
      <c r="K25" s="236">
        <f>NS!Y278</f>
        <v>180.28895291683585</v>
      </c>
      <c r="L25" s="236">
        <f>NS!Y279</f>
        <v>1173.9186641229871</v>
      </c>
      <c r="M25" s="236">
        <f>NS!Y280</f>
        <v>993.62971120615123</v>
      </c>
    </row>
    <row r="26" spans="1:13">
      <c r="A26" s="52" t="s">
        <v>31</v>
      </c>
      <c r="B26" s="236">
        <f>NB!Y254</f>
        <v>73.408004043836456</v>
      </c>
      <c r="C26" s="236">
        <f>NB!Y255</f>
        <v>212.91010668000499</v>
      </c>
      <c r="D26" s="236">
        <f>NB!Y256</f>
        <v>92.759468478982896</v>
      </c>
      <c r="E26" s="236">
        <f>NB!Y257</f>
        <v>186.3128839064307</v>
      </c>
      <c r="F26" s="236">
        <f>NB!Y258</f>
        <v>58.884398677813685</v>
      </c>
      <c r="G26" s="236">
        <f>NB!Y259</f>
        <v>30.407268319664219</v>
      </c>
      <c r="H26" s="236">
        <f>NB!Y260</f>
        <v>89.29166699747789</v>
      </c>
      <c r="I26" s="236">
        <f>NB!Y261</f>
        <v>96.464554238485789</v>
      </c>
      <c r="J26" s="236">
        <f>NB!Y262</f>
        <v>187.90077780336051</v>
      </c>
      <c r="K26" s="236">
        <f>NB!Y266</f>
        <v>89.29166699747789</v>
      </c>
      <c r="L26" s="236">
        <f>NB!Y267</f>
        <v>939.04746214857926</v>
      </c>
      <c r="M26" s="236">
        <f>NB!Y268</f>
        <v>849.75579515110132</v>
      </c>
    </row>
    <row r="27" spans="1:13">
      <c r="A27" s="52" t="s">
        <v>416</v>
      </c>
      <c r="B27" s="236">
        <f>QUE!Y265</f>
        <v>71.739318908304</v>
      </c>
      <c r="C27" s="236">
        <f>QUE!Y267</f>
        <v>93.785703836078085</v>
      </c>
      <c r="D27" s="236">
        <f>QUE!Y268</f>
        <v>44.440296901405205</v>
      </c>
      <c r="E27" s="236">
        <f>QUE!Y269</f>
        <v>32.263361243818188</v>
      </c>
      <c r="F27" s="236">
        <f>QUE!Y270</f>
        <v>165.31559122414677</v>
      </c>
      <c r="G27" s="236">
        <f>QUE!Y271</f>
        <v>4.8547100276758561</v>
      </c>
      <c r="H27" s="236">
        <f>QUE!Y272</f>
        <v>170.17030125182262</v>
      </c>
      <c r="I27" s="236">
        <f>QUE!Y273</f>
        <v>172.97870532318481</v>
      </c>
      <c r="J27" s="236">
        <f>QUE!Y274</f>
        <v>177.93286645678518</v>
      </c>
      <c r="K27" s="236">
        <f>QUE!Y278</f>
        <v>170.17030125182262</v>
      </c>
      <c r="L27" s="236">
        <f>QUE!Y279</f>
        <v>765.54237898653469</v>
      </c>
      <c r="M27" s="236">
        <f>QUE!Y280</f>
        <v>595.37207773471209</v>
      </c>
    </row>
    <row r="28" spans="1:13">
      <c r="A28" s="52" t="s">
        <v>485</v>
      </c>
      <c r="B28" s="236">
        <f>'ONT input 09-10 &amp; 13-14 charts'!R13</f>
        <v>71.828423192849769</v>
      </c>
      <c r="C28" s="236">
        <f>'ONT input 09-10 &amp; 13-14 charts'!R16</f>
        <v>146.10725522625484</v>
      </c>
      <c r="D28" s="236">
        <f>'ONT input 09-10 &amp; 13-14 charts'!R18</f>
        <v>27.223075131554829</v>
      </c>
      <c r="E28" s="236">
        <f>'ONT input 09-10 &amp; 13-14 charts'!R23</f>
        <v>50.17340412562789</v>
      </c>
      <c r="F28" s="236">
        <f>'ONT input 09-10 &amp; 13-14 charts'!R26</f>
        <v>307.40895656144738</v>
      </c>
      <c r="G28" s="236">
        <f>'ONT input 09-10 &amp; 13-14 charts'!R27</f>
        <v>5.6383276102641542</v>
      </c>
      <c r="H28" s="236">
        <f>'ONT input 09-10 &amp; 13-14 charts'!R28</f>
        <v>313.04728417171151</v>
      </c>
      <c r="I28" s="236">
        <f>'ONT input 09-10 &amp; 13-14 charts'!R31</f>
        <v>148.66057157093306</v>
      </c>
      <c r="J28" s="236">
        <f>'ONT input 09-10 &amp; 13-14 charts'!R38</f>
        <v>211.05447242137924</v>
      </c>
      <c r="K28" s="236">
        <f>'ONT input 09-10 &amp; 13-14 charts'!R28</f>
        <v>313.04728417171151</v>
      </c>
      <c r="L28" s="236">
        <f>'ONT input 09-10 &amp; 13-14 charts'!R40</f>
        <v>968.09448584031122</v>
      </c>
      <c r="M28" s="236">
        <f>'ONT input 09-10 &amp; 13-14 charts'!R42</f>
        <v>655.04720166859966</v>
      </c>
    </row>
    <row r="29" spans="1:13">
      <c r="A29" s="52" t="s">
        <v>34</v>
      </c>
      <c r="B29" s="236">
        <f>Manitoba!Y256</f>
        <v>71.742264146768207</v>
      </c>
      <c r="C29" s="236">
        <f>Manitoba!Y257</f>
        <v>122.33846659638264</v>
      </c>
      <c r="D29" s="236">
        <f>Manitoba!Y258</f>
        <v>30.03140652882778</v>
      </c>
      <c r="E29" s="236">
        <f>Manitoba!Y259</f>
        <v>61.643413401278075</v>
      </c>
      <c r="F29" s="236">
        <f>Manitoba!Y260</f>
        <v>152.9230832454783</v>
      </c>
      <c r="G29" s="236">
        <f>Manitoba!Y261</f>
        <v>92.929026302770325</v>
      </c>
      <c r="H29" s="236">
        <f>Manitoba!Y262</f>
        <v>245.85210954824862</v>
      </c>
      <c r="I29" s="236">
        <f>Manitoba!Y263</f>
        <v>91.990939998830356</v>
      </c>
      <c r="J29" s="236">
        <f>Manitoba!Y264</f>
        <v>135.14132937972499</v>
      </c>
      <c r="K29" s="236">
        <f>Manitoba!Y269</f>
        <v>245.85210954824862</v>
      </c>
      <c r="L29" s="236">
        <f>Manitoba!Y270</f>
        <v>758.73992960006058</v>
      </c>
      <c r="M29" s="236">
        <f>Manitoba!Y271</f>
        <v>512.88782005181201</v>
      </c>
    </row>
    <row r="30" spans="1:13">
      <c r="A30" s="52" t="s">
        <v>685</v>
      </c>
      <c r="B30" s="236">
        <f>SASK!Y263</f>
        <v>70.67066291060118</v>
      </c>
      <c r="C30" s="236">
        <f>SASK!Y264</f>
        <v>92.575683333303203</v>
      </c>
      <c r="D30" s="236">
        <f>SASK!Y265</f>
        <v>25.584881233715631</v>
      </c>
      <c r="E30" s="236">
        <f>SASK!Y266</f>
        <v>45.383782259099803</v>
      </c>
      <c r="F30" s="236">
        <f>SASK!Y267+SASK!Y270</f>
        <v>208.44798313386769</v>
      </c>
      <c r="G30" s="236">
        <f>SASK!Y268</f>
        <v>74.888665083959992</v>
      </c>
      <c r="H30" s="236">
        <f>SASK!Y271</f>
        <v>283.3366482178277</v>
      </c>
      <c r="I30" s="236">
        <f>SASK!Y272</f>
        <v>107.76388138017326</v>
      </c>
      <c r="J30" s="236">
        <f>SASK!Y273</f>
        <v>123.8561388345951</v>
      </c>
      <c r="K30" s="236">
        <f>SASK!Y277</f>
        <v>283.3366482178277</v>
      </c>
      <c r="L30" s="236">
        <f>SASK!Y278</f>
        <v>749.1716781693159</v>
      </c>
      <c r="M30" s="236">
        <f>SASK!Y279</f>
        <v>465.83502995148825</v>
      </c>
    </row>
    <row r="31" spans="1:13">
      <c r="A31" s="52" t="s">
        <v>392</v>
      </c>
      <c r="B31" s="236">
        <f>Alberta!Y261</f>
        <v>71.727376571580834</v>
      </c>
      <c r="C31" s="236">
        <f>Alberta!Y262</f>
        <v>102.82582637431295</v>
      </c>
      <c r="D31" s="236">
        <f>Alberta!Y263</f>
        <v>26.823043764228689</v>
      </c>
      <c r="E31" s="236">
        <f>Alberta!Y264</f>
        <v>49.005077165530366</v>
      </c>
      <c r="F31" s="236">
        <f>Alberta!Y265+Alberta!Y268</f>
        <v>264.96176905334369</v>
      </c>
      <c r="G31" s="236">
        <f>Alberta!Y266</f>
        <v>22.965515795903332</v>
      </c>
      <c r="H31" s="236">
        <f>Alberta!Y275</f>
        <v>287.92728484924703</v>
      </c>
      <c r="I31" s="236">
        <f>Alberta!Y270</f>
        <v>90.150378716426289</v>
      </c>
      <c r="J31" s="236">
        <f>Alberta!Y271</f>
        <v>174.66168032521006</v>
      </c>
      <c r="K31" s="236">
        <f>Alberta!Y275</f>
        <v>287.92728484924703</v>
      </c>
      <c r="L31" s="236">
        <f>Alberta!Y278</f>
        <v>803.12066776653626</v>
      </c>
      <c r="M31" s="236">
        <f>Alberta!Y279</f>
        <v>515.19338291728923</v>
      </c>
    </row>
    <row r="32" spans="1:13">
      <c r="A32" s="52" t="s">
        <v>36</v>
      </c>
      <c r="B32" s="236">
        <f>BC!Y255</f>
        <v>71.533790700358992</v>
      </c>
      <c r="C32" s="236">
        <f>BC!Y256</f>
        <v>158.38146277871962</v>
      </c>
      <c r="D32" s="236">
        <f>BC!Y257</f>
        <v>40.282747353198737</v>
      </c>
      <c r="E32" s="236">
        <f>BC!Y258</f>
        <v>77.728681512510235</v>
      </c>
      <c r="F32" s="236">
        <f>BC!Y259</f>
        <v>197.59494977422241</v>
      </c>
      <c r="G32" s="236">
        <f>BC!Y260</f>
        <v>13.621504091448383</v>
      </c>
      <c r="H32" s="236">
        <f>BC!Y261</f>
        <v>211.21645386567079</v>
      </c>
      <c r="I32" s="236">
        <f>BC!Y262</f>
        <v>181.01050340995857</v>
      </c>
      <c r="J32" s="236">
        <f>BC!Y263</f>
        <v>199.66800556975539</v>
      </c>
      <c r="K32" s="236">
        <f>BC!Y267</f>
        <v>211.21645386567079</v>
      </c>
      <c r="L32" s="236">
        <f>BC!Y268</f>
        <v>939.82164519017238</v>
      </c>
      <c r="M32" s="236">
        <f>BC!Y269</f>
        <v>728.60519132450145</v>
      </c>
    </row>
    <row r="36" spans="1:24" ht="48.75" customHeight="1">
      <c r="B36" s="324" t="s">
        <v>501</v>
      </c>
      <c r="C36" s="325"/>
      <c r="E36" s="324" t="s">
        <v>6</v>
      </c>
      <c r="F36" s="326"/>
      <c r="H36" s="324" t="s">
        <v>502</v>
      </c>
      <c r="I36" s="327"/>
      <c r="K36" s="24" t="s">
        <v>373</v>
      </c>
      <c r="N36" s="324" t="s">
        <v>179</v>
      </c>
      <c r="O36" s="326"/>
      <c r="Q36" s="328" t="s">
        <v>478</v>
      </c>
      <c r="R36" s="329"/>
      <c r="T36" s="324" t="s">
        <v>369</v>
      </c>
      <c r="U36" s="326"/>
      <c r="W36" s="323" t="s">
        <v>180</v>
      </c>
      <c r="X36" s="323"/>
    </row>
    <row r="37" spans="1:24">
      <c r="B37" s="2">
        <v>2005</v>
      </c>
      <c r="C37" s="2">
        <v>2013</v>
      </c>
      <c r="D37" s="2"/>
      <c r="E37" s="2">
        <v>2005</v>
      </c>
      <c r="F37" s="2">
        <v>2013</v>
      </c>
      <c r="G37" s="2"/>
      <c r="H37" s="2">
        <v>2005</v>
      </c>
      <c r="I37" s="2">
        <v>2013</v>
      </c>
      <c r="J37" s="2"/>
      <c r="K37" s="2">
        <v>2005</v>
      </c>
      <c r="L37" s="2">
        <v>2013</v>
      </c>
      <c r="M37" s="2"/>
      <c r="N37" s="2">
        <v>2005</v>
      </c>
      <c r="O37" s="2">
        <v>2013</v>
      </c>
      <c r="P37" s="2"/>
      <c r="Q37" s="2">
        <v>2005</v>
      </c>
      <c r="R37" s="2">
        <v>2013</v>
      </c>
      <c r="S37" s="2"/>
      <c r="T37" s="2">
        <v>2005</v>
      </c>
      <c r="U37" s="2">
        <v>2013</v>
      </c>
      <c r="V37" s="2"/>
      <c r="W37" s="2">
        <v>2005</v>
      </c>
      <c r="X37" s="2">
        <v>2013</v>
      </c>
    </row>
    <row r="38" spans="1:24">
      <c r="A38" s="52" t="s">
        <v>171</v>
      </c>
      <c r="B38" s="236">
        <f>K6</f>
        <v>184.76467792498096</v>
      </c>
      <c r="C38" s="236">
        <f>K22</f>
        <v>256.70836467967098</v>
      </c>
      <c r="E38" s="236">
        <f>D6</f>
        <v>26.64817009075389</v>
      </c>
      <c r="F38" s="236">
        <f>D22</f>
        <v>36.31864249743689</v>
      </c>
      <c r="H38" s="236">
        <f>M6</f>
        <v>536.27581401909617</v>
      </c>
      <c r="I38" s="236">
        <f>M22</f>
        <v>645.6645943213606</v>
      </c>
      <c r="K38" s="236">
        <f>L6</f>
        <v>721.04049194407708</v>
      </c>
      <c r="L38" s="236">
        <f>L22</f>
        <v>902.37295900103163</v>
      </c>
      <c r="N38" s="236">
        <f>C6</f>
        <v>96.984203763719066</v>
      </c>
      <c r="O38" s="236">
        <f>C22</f>
        <v>113.83709842946618</v>
      </c>
      <c r="Q38" s="236">
        <f>E6</f>
        <v>51.360998219609456</v>
      </c>
      <c r="R38" s="236">
        <f>E22</f>
        <v>57.581318928227994</v>
      </c>
      <c r="T38" s="236">
        <f>I6</f>
        <v>150.01381412355497</v>
      </c>
      <c r="U38" s="236">
        <f>I22</f>
        <v>153.6071497662428</v>
      </c>
      <c r="V38" s="236"/>
      <c r="W38" s="236">
        <f>J6</f>
        <v>137.98616007188554</v>
      </c>
      <c r="X38" s="236">
        <f>J22</f>
        <v>190.83785441361536</v>
      </c>
    </row>
    <row r="39" spans="1:24">
      <c r="A39" s="52" t="s">
        <v>415</v>
      </c>
      <c r="B39" s="236">
        <f t="shared" ref="B39:B48" si="0">K7</f>
        <v>102.22412334853155</v>
      </c>
      <c r="C39" s="236">
        <f t="shared" ref="C39:C48" si="1">K23</f>
        <v>107.4005893749633</v>
      </c>
      <c r="E39" s="236">
        <f t="shared" ref="E39:E48" si="2">D7</f>
        <v>38.886674508812696</v>
      </c>
      <c r="F39" s="236">
        <f t="shared" ref="F39:F48" si="3">D23</f>
        <v>71.588604154790474</v>
      </c>
      <c r="H39" s="236">
        <f t="shared" ref="H39:H48" si="4">M7</f>
        <v>615.31940542274663</v>
      </c>
      <c r="I39" s="236">
        <f t="shared" ref="I39:I48" si="5">M23</f>
        <v>809.30041078222871</v>
      </c>
      <c r="K39" s="236">
        <f t="shared" ref="K39:K48" si="6">L7</f>
        <v>717.54352877127815</v>
      </c>
      <c r="L39" s="236">
        <f t="shared" ref="L39:L48" si="7">L23</f>
        <v>916.70100015719197</v>
      </c>
      <c r="N39" s="236">
        <f t="shared" ref="N39:N48" si="8">C7</f>
        <v>215.23774340627824</v>
      </c>
      <c r="O39" s="236">
        <f t="shared" ref="O39:O48" si="9">C23</f>
        <v>235.40908720741945</v>
      </c>
      <c r="Q39" s="236">
        <f t="shared" ref="Q39:Q48" si="10">E7</f>
        <v>57.956699687934432</v>
      </c>
      <c r="R39" s="236">
        <f t="shared" ref="R39:R48" si="11">E23</f>
        <v>71.967379838149157</v>
      </c>
      <c r="T39" s="236">
        <f t="shared" ref="T39:T48" si="12">I7</f>
        <v>143.10296219243071</v>
      </c>
      <c r="U39" s="236">
        <f t="shared" ref="U39:U48" si="13">I23</f>
        <v>171.20660887812323</v>
      </c>
      <c r="V39" s="236"/>
      <c r="W39" s="236">
        <f t="shared" ref="W39:W48" si="14">J7</f>
        <v>106.93835489923491</v>
      </c>
      <c r="X39" s="236">
        <f t="shared" ref="X39:X48" si="15">J23</f>
        <v>187.49396326254646</v>
      </c>
    </row>
    <row r="40" spans="1:24">
      <c r="A40" s="52" t="s">
        <v>29</v>
      </c>
      <c r="B40" s="236">
        <f t="shared" si="0"/>
        <v>111.43491424267008</v>
      </c>
      <c r="C40" s="236">
        <f t="shared" si="1"/>
        <v>137.81865498724568</v>
      </c>
      <c r="E40" s="236">
        <f t="shared" si="2"/>
        <v>57.944141847259239</v>
      </c>
      <c r="F40" s="236">
        <f t="shared" si="3"/>
        <v>107.94755261583735</v>
      </c>
      <c r="H40" s="236">
        <f t="shared" si="4"/>
        <v>591.43585583497497</v>
      </c>
      <c r="I40" s="236">
        <f t="shared" si="5"/>
        <v>828.63786690135532</v>
      </c>
      <c r="K40" s="236">
        <f t="shared" si="6"/>
        <v>702.87077007764503</v>
      </c>
      <c r="L40" s="236">
        <f t="shared" si="7"/>
        <v>966.45652188860106</v>
      </c>
      <c r="N40" s="236">
        <f t="shared" si="8"/>
        <v>188.31846100359255</v>
      </c>
      <c r="O40" s="236">
        <f t="shared" si="9"/>
        <v>226.8961297020785</v>
      </c>
      <c r="Q40" s="236">
        <f t="shared" si="10"/>
        <v>131.93881098620926</v>
      </c>
      <c r="R40" s="236">
        <f t="shared" si="11"/>
        <v>140.95062602704877</v>
      </c>
      <c r="T40" s="236">
        <f t="shared" si="12"/>
        <v>76.775987947618489</v>
      </c>
      <c r="U40" s="236">
        <f t="shared" si="13"/>
        <v>107.94755261583735</v>
      </c>
      <c r="V40" s="236"/>
      <c r="W40" s="236">
        <f t="shared" si="14"/>
        <v>86.916212770888862</v>
      </c>
      <c r="X40" s="236">
        <f t="shared" si="15"/>
        <v>178.76664764406186</v>
      </c>
    </row>
    <row r="41" spans="1:24">
      <c r="A41" s="52" t="s">
        <v>30</v>
      </c>
      <c r="B41" s="236">
        <f t="shared" si="0"/>
        <v>147.95303118992555</v>
      </c>
      <c r="C41" s="236">
        <f t="shared" si="1"/>
        <v>180.28895291683585</v>
      </c>
      <c r="E41" s="236">
        <f t="shared" si="2"/>
        <v>39.556498087747187</v>
      </c>
      <c r="F41" s="236">
        <f t="shared" si="3"/>
        <v>63.521284932730005</v>
      </c>
      <c r="H41" s="236">
        <f t="shared" si="4"/>
        <v>729.1467418133509</v>
      </c>
      <c r="I41" s="236">
        <f t="shared" si="5"/>
        <v>993.62971120615123</v>
      </c>
      <c r="K41" s="236">
        <f t="shared" si="6"/>
        <v>877.09977300327648</v>
      </c>
      <c r="L41" s="236">
        <f t="shared" si="7"/>
        <v>1173.9186641229871</v>
      </c>
      <c r="N41" s="236">
        <f t="shared" si="8"/>
        <v>249.28057285485963</v>
      </c>
      <c r="O41" s="236">
        <f t="shared" si="9"/>
        <v>284.6262583630172</v>
      </c>
      <c r="Q41" s="236">
        <f t="shared" si="10"/>
        <v>125.36104633867826</v>
      </c>
      <c r="R41" s="236">
        <f t="shared" si="11"/>
        <v>203.50141199650898</v>
      </c>
      <c r="T41" s="236">
        <f t="shared" si="12"/>
        <v>161.85111616496019</v>
      </c>
      <c r="U41" s="236">
        <f t="shared" si="13"/>
        <v>170.41520014507032</v>
      </c>
      <c r="V41" s="236"/>
      <c r="W41" s="236">
        <f t="shared" si="14"/>
        <v>100.22401132744571</v>
      </c>
      <c r="X41" s="236">
        <f t="shared" si="15"/>
        <v>199.36563551507913</v>
      </c>
    </row>
    <row r="42" spans="1:24">
      <c r="A42" s="52" t="s">
        <v>31</v>
      </c>
      <c r="B42" s="236">
        <f t="shared" si="0"/>
        <v>73.839239403029765</v>
      </c>
      <c r="C42" s="236">
        <f t="shared" si="1"/>
        <v>89.29166699747789</v>
      </c>
      <c r="E42" s="236">
        <f t="shared" si="2"/>
        <v>55.879065937297803</v>
      </c>
      <c r="F42" s="236">
        <f t="shared" si="3"/>
        <v>92.759468478982896</v>
      </c>
      <c r="H42" s="236">
        <f t="shared" si="4"/>
        <v>613.61363770045614</v>
      </c>
      <c r="I42" s="236">
        <f t="shared" si="5"/>
        <v>849.75579515110132</v>
      </c>
      <c r="K42" s="236">
        <f t="shared" si="6"/>
        <v>687.45287710348589</v>
      </c>
      <c r="L42" s="236">
        <f t="shared" si="7"/>
        <v>939.04746214857926</v>
      </c>
      <c r="N42" s="236">
        <f t="shared" si="8"/>
        <v>184.61480875456525</v>
      </c>
      <c r="O42" s="236">
        <f t="shared" si="9"/>
        <v>212.91010668000499</v>
      </c>
      <c r="Q42" s="236">
        <f t="shared" si="10"/>
        <v>121.75754367390154</v>
      </c>
      <c r="R42" s="236">
        <f t="shared" si="11"/>
        <v>186.3128839064307</v>
      </c>
      <c r="T42" s="236">
        <f t="shared" si="12"/>
        <v>93.176337220805195</v>
      </c>
      <c r="U42" s="236">
        <f t="shared" si="13"/>
        <v>96.464554238485789</v>
      </c>
      <c r="V42" s="236"/>
      <c r="W42" s="236">
        <f t="shared" si="14"/>
        <v>105.60876098197433</v>
      </c>
      <c r="X42" s="236">
        <f t="shared" si="15"/>
        <v>187.90077780336051</v>
      </c>
    </row>
    <row r="43" spans="1:24">
      <c r="A43" s="52" t="s">
        <v>416</v>
      </c>
      <c r="B43" s="236">
        <f t="shared" si="0"/>
        <v>159.5489205391448</v>
      </c>
      <c r="C43" s="236">
        <f t="shared" si="1"/>
        <v>170.17030125182262</v>
      </c>
      <c r="E43" s="236">
        <f t="shared" si="2"/>
        <v>32.303627186859266</v>
      </c>
      <c r="F43" s="236">
        <f t="shared" si="3"/>
        <v>44.440296901405205</v>
      </c>
      <c r="H43" s="236">
        <f t="shared" si="4"/>
        <v>503.52741363099625</v>
      </c>
      <c r="I43" s="236">
        <f t="shared" si="5"/>
        <v>595.37207773471209</v>
      </c>
      <c r="K43" s="236">
        <f t="shared" si="6"/>
        <v>663.07633417014108</v>
      </c>
      <c r="L43" s="236">
        <f t="shared" si="7"/>
        <v>765.54237898653469</v>
      </c>
      <c r="N43" s="236">
        <f t="shared" si="8"/>
        <v>86.107831064033206</v>
      </c>
      <c r="O43" s="236">
        <f t="shared" si="9"/>
        <v>93.785703836078085</v>
      </c>
      <c r="Q43" s="236">
        <f t="shared" si="10"/>
        <v>26.867542729428301</v>
      </c>
      <c r="R43" s="236">
        <f t="shared" si="11"/>
        <v>32.263361243818188</v>
      </c>
      <c r="T43" s="236">
        <f t="shared" si="12"/>
        <v>161.86108991831364</v>
      </c>
      <c r="U43" s="236">
        <f t="shared" si="13"/>
        <v>172.97870532318481</v>
      </c>
      <c r="V43" s="236"/>
      <c r="W43" s="236">
        <f t="shared" si="14"/>
        <v>141.40256571789766</v>
      </c>
      <c r="X43" s="236">
        <f t="shared" si="15"/>
        <v>177.93286645678518</v>
      </c>
    </row>
    <row r="44" spans="1:24">
      <c r="A44" s="52" t="s">
        <v>485</v>
      </c>
      <c r="B44" s="236">
        <f t="shared" si="0"/>
        <v>198.69588018508955</v>
      </c>
      <c r="C44" s="236">
        <f t="shared" si="1"/>
        <v>313.04728417171151</v>
      </c>
      <c r="E44" s="236">
        <f t="shared" si="2"/>
        <v>20.697653813580629</v>
      </c>
      <c r="F44" s="236">
        <f t="shared" si="3"/>
        <v>27.223075131554829</v>
      </c>
      <c r="H44" s="236">
        <f t="shared" si="4"/>
        <v>554.70079398211521</v>
      </c>
      <c r="I44" s="236">
        <f t="shared" si="5"/>
        <v>655.04720166859966</v>
      </c>
      <c r="K44" s="236">
        <f t="shared" si="6"/>
        <v>753.39667416720476</v>
      </c>
      <c r="L44" s="236">
        <f t="shared" si="7"/>
        <v>968.09448584031122</v>
      </c>
      <c r="N44" s="236">
        <f t="shared" si="8"/>
        <v>121.69549943765919</v>
      </c>
      <c r="O44" s="236">
        <f t="shared" si="9"/>
        <v>146.10725522625484</v>
      </c>
      <c r="Q44" s="236">
        <f t="shared" si="10"/>
        <v>45.074748622883639</v>
      </c>
      <c r="R44" s="236">
        <f t="shared" si="11"/>
        <v>50.17340412562789</v>
      </c>
      <c r="T44" s="236">
        <f t="shared" si="12"/>
        <v>161.9174344807108</v>
      </c>
      <c r="U44" s="236">
        <f t="shared" si="13"/>
        <v>148.66057157093306</v>
      </c>
      <c r="V44" s="236"/>
      <c r="W44" s="236">
        <f t="shared" si="14"/>
        <v>152.21915087735542</v>
      </c>
      <c r="X44" s="236">
        <f t="shared" si="15"/>
        <v>211.05447242137924</v>
      </c>
    </row>
    <row r="45" spans="1:24">
      <c r="A45" s="52" t="s">
        <v>34</v>
      </c>
      <c r="B45" s="236">
        <f t="shared" si="0"/>
        <v>196.58472913427525</v>
      </c>
      <c r="C45" s="236">
        <f t="shared" si="1"/>
        <v>245.85210954824862</v>
      </c>
      <c r="E45" s="236">
        <f t="shared" si="2"/>
        <v>23.678260810526389</v>
      </c>
      <c r="F45" s="236">
        <f t="shared" si="3"/>
        <v>30.03140652882778</v>
      </c>
      <c r="H45" s="236">
        <f t="shared" si="4"/>
        <v>419.54143950246799</v>
      </c>
      <c r="I45" s="236">
        <f t="shared" si="5"/>
        <v>512.88782005181201</v>
      </c>
      <c r="K45" s="236">
        <f t="shared" si="6"/>
        <v>616.12616863674327</v>
      </c>
      <c r="L45" s="236">
        <f t="shared" si="7"/>
        <v>758.73992960006058</v>
      </c>
      <c r="N45" s="236">
        <f t="shared" si="8"/>
        <v>93.864360058932562</v>
      </c>
      <c r="O45" s="236">
        <f t="shared" si="9"/>
        <v>122.33846659638264</v>
      </c>
      <c r="Q45" s="236">
        <f t="shared" si="10"/>
        <v>68.865548215388998</v>
      </c>
      <c r="R45" s="236">
        <f t="shared" si="11"/>
        <v>61.643413401278075</v>
      </c>
      <c r="T45" s="236">
        <f t="shared" si="12"/>
        <v>81.134112311337731</v>
      </c>
      <c r="U45" s="236">
        <f t="shared" si="13"/>
        <v>91.990939998830356</v>
      </c>
      <c r="V45" s="236"/>
      <c r="W45" s="236">
        <f t="shared" si="14"/>
        <v>99.295932431239692</v>
      </c>
      <c r="X45" s="236">
        <f t="shared" si="15"/>
        <v>135.14132937972499</v>
      </c>
    </row>
    <row r="46" spans="1:24">
      <c r="A46" s="52" t="s">
        <v>685</v>
      </c>
      <c r="B46" s="236">
        <f t="shared" si="0"/>
        <v>172.27583055450154</v>
      </c>
      <c r="C46" s="236">
        <f t="shared" si="1"/>
        <v>283.3366482178277</v>
      </c>
      <c r="E46" s="236">
        <f t="shared" si="2"/>
        <v>16.708219135339597</v>
      </c>
      <c r="F46" s="236">
        <f t="shared" si="3"/>
        <v>25.584881233715631</v>
      </c>
      <c r="H46" s="236">
        <f t="shared" si="4"/>
        <v>417.32904019333228</v>
      </c>
      <c r="I46" s="236">
        <f t="shared" si="5"/>
        <v>465.83502995148825</v>
      </c>
      <c r="K46" s="236">
        <f t="shared" si="6"/>
        <v>589.60487074783373</v>
      </c>
      <c r="L46" s="236">
        <f t="shared" si="7"/>
        <v>749.1716781693159</v>
      </c>
      <c r="N46" s="236">
        <f t="shared" si="8"/>
        <v>81.024797614146834</v>
      </c>
      <c r="O46" s="236">
        <f t="shared" si="9"/>
        <v>92.575683333303203</v>
      </c>
      <c r="Q46" s="236">
        <f t="shared" si="10"/>
        <v>60.00465011881959</v>
      </c>
      <c r="R46" s="236">
        <f t="shared" si="11"/>
        <v>45.383782259099803</v>
      </c>
      <c r="T46" s="236">
        <f t="shared" si="12"/>
        <v>113.63602050480965</v>
      </c>
      <c r="U46" s="236">
        <f t="shared" si="13"/>
        <v>107.76388138017326</v>
      </c>
      <c r="V46" s="236"/>
      <c r="W46" s="236">
        <f t="shared" si="14"/>
        <v>92.599768701882084</v>
      </c>
      <c r="X46" s="236">
        <f t="shared" si="15"/>
        <v>123.8561388345951</v>
      </c>
    </row>
    <row r="47" spans="1:24">
      <c r="A47" s="52" t="s">
        <v>392</v>
      </c>
      <c r="B47" s="236">
        <f t="shared" si="0"/>
        <v>153.9240579497224</v>
      </c>
      <c r="C47" s="236">
        <f t="shared" si="1"/>
        <v>287.92728484924703</v>
      </c>
      <c r="E47" s="236">
        <f t="shared" si="2"/>
        <v>21.013728768758064</v>
      </c>
      <c r="F47" s="236">
        <f t="shared" si="3"/>
        <v>26.823043764228689</v>
      </c>
      <c r="H47" s="236">
        <f t="shared" si="4"/>
        <v>419.22991006244507</v>
      </c>
      <c r="I47" s="236">
        <f t="shared" si="5"/>
        <v>515.19338291728923</v>
      </c>
      <c r="K47" s="236">
        <f t="shared" si="6"/>
        <v>573.15396801216752</v>
      </c>
      <c r="L47" s="236">
        <f t="shared" si="7"/>
        <v>803.12066776653626</v>
      </c>
      <c r="N47" s="236">
        <f t="shared" si="8"/>
        <v>92.243646056554027</v>
      </c>
      <c r="O47" s="236">
        <f t="shared" si="9"/>
        <v>102.82582637431295</v>
      </c>
      <c r="Q47" s="236">
        <f t="shared" si="10"/>
        <v>48.349639545308669</v>
      </c>
      <c r="R47" s="236">
        <f t="shared" si="11"/>
        <v>49.005077165530366</v>
      </c>
      <c r="T47" s="236">
        <f t="shared" si="12"/>
        <v>88.691181880746782</v>
      </c>
      <c r="U47" s="236">
        <f t="shared" si="13"/>
        <v>90.150378716426289</v>
      </c>
      <c r="V47" s="236"/>
      <c r="W47" s="236">
        <f t="shared" si="14"/>
        <v>115.90667014286325</v>
      </c>
      <c r="X47" s="236">
        <f t="shared" si="15"/>
        <v>174.66168032521006</v>
      </c>
    </row>
    <row r="48" spans="1:24">
      <c r="A48" s="52" t="s">
        <v>36</v>
      </c>
      <c r="B48" s="236">
        <f t="shared" si="0"/>
        <v>149.65331701211034</v>
      </c>
      <c r="C48" s="236">
        <f t="shared" si="1"/>
        <v>211.21645386567079</v>
      </c>
      <c r="E48" s="236">
        <f t="shared" si="2"/>
        <v>31.317300019734191</v>
      </c>
      <c r="F48" s="236">
        <f t="shared" si="3"/>
        <v>40.282747353198737</v>
      </c>
      <c r="H48" s="236">
        <f t="shared" si="4"/>
        <v>584.95759056038423</v>
      </c>
      <c r="I48" s="236">
        <f t="shared" si="5"/>
        <v>728.60519132450145</v>
      </c>
      <c r="K48" s="236">
        <f t="shared" si="6"/>
        <v>734.61090757249451</v>
      </c>
      <c r="L48" s="236">
        <f t="shared" si="7"/>
        <v>939.82164519017238</v>
      </c>
      <c r="N48" s="236">
        <f t="shared" si="8"/>
        <v>120.57398843214251</v>
      </c>
      <c r="O48" s="236">
        <f t="shared" si="9"/>
        <v>158.38146277871962</v>
      </c>
      <c r="Q48" s="236">
        <f t="shared" si="10"/>
        <v>78.542072433053917</v>
      </c>
      <c r="R48" s="236">
        <f t="shared" si="11"/>
        <v>77.728681512510235</v>
      </c>
      <c r="T48" s="236">
        <f t="shared" si="12"/>
        <v>153.05913297316056</v>
      </c>
      <c r="U48" s="236">
        <f t="shared" si="13"/>
        <v>181.01050340995857</v>
      </c>
      <c r="V48" s="236"/>
      <c r="W48" s="236">
        <f t="shared" si="14"/>
        <v>148.48308913466059</v>
      </c>
      <c r="X48" s="236">
        <f t="shared" si="15"/>
        <v>199.66800556975539</v>
      </c>
    </row>
  </sheetData>
  <mergeCells count="7">
    <mergeCell ref="W36:X36"/>
    <mergeCell ref="B36:C36"/>
    <mergeCell ref="E36:F36"/>
    <mergeCell ref="H36:I36"/>
    <mergeCell ref="N36:O36"/>
    <mergeCell ref="Q36:R36"/>
    <mergeCell ref="T36:U36"/>
  </mergeCells>
  <pageMargins left="0.70866141732283472" right="0.70866141732283472" top="0.74803149606299213" bottom="0.74803149606299213" header="0.31496062992125984" footer="0.31496062992125984"/>
  <pageSetup scale="26" orientation="landscape" verticalDpi="0"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U99"/>
  <sheetViews>
    <sheetView workbookViewId="0">
      <selection activeCell="R35" sqref="R35"/>
    </sheetView>
  </sheetViews>
  <sheetFormatPr defaultRowHeight="12.75"/>
  <cols>
    <col min="1" max="1" width="39.28515625" customWidth="1"/>
    <col min="2" max="2" width="10.7109375" bestFit="1" customWidth="1"/>
    <col min="3" max="3" width="2.7109375" customWidth="1"/>
    <col min="4" max="4" width="16.7109375" customWidth="1"/>
    <col min="13" max="13" width="2.7109375" customWidth="1"/>
  </cols>
  <sheetData>
    <row r="1" spans="1:21">
      <c r="B1" s="239" t="s">
        <v>171</v>
      </c>
      <c r="C1" s="239"/>
    </row>
    <row r="2" spans="1:21">
      <c r="B2" s="239" t="s">
        <v>690</v>
      </c>
      <c r="C2" s="239"/>
    </row>
    <row r="3" spans="1:21">
      <c r="B3" s="239" t="s">
        <v>16</v>
      </c>
      <c r="C3" s="239"/>
      <c r="E3" s="2" t="s">
        <v>59</v>
      </c>
      <c r="N3" s="2" t="s">
        <v>92</v>
      </c>
    </row>
    <row r="4" spans="1:21">
      <c r="A4" s="2" t="s">
        <v>11</v>
      </c>
    </row>
    <row r="6" spans="1:21">
      <c r="A6" t="s">
        <v>0</v>
      </c>
      <c r="B6" s="135">
        <v>675</v>
      </c>
      <c r="C6" s="143" t="s">
        <v>237</v>
      </c>
      <c r="D6" s="281" t="s">
        <v>691</v>
      </c>
      <c r="E6" t="s">
        <v>811</v>
      </c>
      <c r="N6" s="110" t="s">
        <v>810</v>
      </c>
      <c r="O6" s="103"/>
      <c r="P6" s="103"/>
      <c r="Q6" s="103"/>
      <c r="R6" s="103"/>
      <c r="S6" s="103"/>
      <c r="T6" s="103"/>
      <c r="U6" s="103"/>
    </row>
    <row r="7" spans="1:21">
      <c r="A7" t="s">
        <v>1</v>
      </c>
      <c r="B7" s="135">
        <v>1135</v>
      </c>
      <c r="C7" s="143" t="s">
        <v>237</v>
      </c>
      <c r="D7" s="281" t="s">
        <v>691</v>
      </c>
      <c r="E7" t="s">
        <v>811</v>
      </c>
      <c r="I7" t="s">
        <v>93</v>
      </c>
      <c r="N7" s="103" t="s">
        <v>752</v>
      </c>
      <c r="O7" s="103"/>
      <c r="P7" s="103"/>
      <c r="Q7" s="103"/>
      <c r="R7" s="103"/>
      <c r="S7" s="103"/>
      <c r="T7" s="103"/>
      <c r="U7" s="103"/>
    </row>
    <row r="8" spans="1:21">
      <c r="A8" t="s">
        <v>14</v>
      </c>
      <c r="B8" s="45">
        <v>105</v>
      </c>
      <c r="C8" s="9"/>
      <c r="D8" s="281" t="s">
        <v>691</v>
      </c>
      <c r="E8" t="s">
        <v>811</v>
      </c>
      <c r="N8" s="103"/>
      <c r="O8" s="103"/>
      <c r="P8" s="103"/>
      <c r="Q8" s="103"/>
      <c r="R8" s="103"/>
      <c r="S8" s="103"/>
      <c r="T8" s="103"/>
      <c r="U8" s="103"/>
    </row>
    <row r="9" spans="1:21">
      <c r="A9" t="s">
        <v>2</v>
      </c>
      <c r="B9" s="45">
        <v>5</v>
      </c>
      <c r="C9" s="9"/>
      <c r="D9" s="281" t="s">
        <v>691</v>
      </c>
      <c r="E9" t="s">
        <v>811</v>
      </c>
      <c r="N9" s="103"/>
      <c r="O9" s="103"/>
      <c r="P9" s="103"/>
      <c r="Q9" s="103"/>
      <c r="R9" s="103"/>
      <c r="S9" s="103"/>
      <c r="T9" s="103"/>
      <c r="U9" s="103"/>
    </row>
    <row r="10" spans="1:21">
      <c r="A10" s="52" t="s">
        <v>273</v>
      </c>
      <c r="B10" s="45"/>
      <c r="C10" s="9"/>
      <c r="D10" s="281" t="s">
        <v>691</v>
      </c>
      <c r="E10" t="s">
        <v>811</v>
      </c>
      <c r="N10" s="103"/>
      <c r="O10" s="103"/>
      <c r="P10" s="103"/>
      <c r="Q10" s="103"/>
      <c r="R10" s="103"/>
      <c r="S10" s="103"/>
      <c r="T10" s="103"/>
      <c r="U10" s="103"/>
    </row>
    <row r="11" spans="1:21">
      <c r="A11" t="s">
        <v>3</v>
      </c>
      <c r="B11" s="135">
        <v>135</v>
      </c>
      <c r="C11" s="143" t="s">
        <v>237</v>
      </c>
      <c r="D11" s="281" t="s">
        <v>691</v>
      </c>
      <c r="E11" t="s">
        <v>811</v>
      </c>
      <c r="N11" s="103"/>
      <c r="O11" s="103"/>
      <c r="P11" s="103"/>
      <c r="Q11" s="103"/>
      <c r="R11" s="103"/>
      <c r="S11" s="103"/>
      <c r="T11" s="103"/>
      <c r="U11" s="103"/>
    </row>
    <row r="12" spans="1:21">
      <c r="A12" t="s">
        <v>15</v>
      </c>
      <c r="B12" s="135">
        <f>'CAN Disability details 10-11'!B12*1.15</f>
        <v>253.45999999999998</v>
      </c>
      <c r="C12" s="143" t="s">
        <v>237</v>
      </c>
      <c r="D12" s="281" t="s">
        <v>691</v>
      </c>
      <c r="E12" s="248" t="s">
        <v>812</v>
      </c>
      <c r="F12" s="249"/>
      <c r="G12" s="249"/>
      <c r="H12" s="249"/>
      <c r="I12" s="30"/>
      <c r="J12" s="30"/>
      <c r="K12" s="30"/>
      <c r="L12" s="171"/>
      <c r="M12" s="171"/>
      <c r="N12" s="110"/>
      <c r="O12" s="103"/>
      <c r="P12" s="103"/>
      <c r="Q12" s="103"/>
      <c r="R12" s="103"/>
      <c r="S12" s="103"/>
      <c r="T12" s="103"/>
      <c r="U12" s="103"/>
    </row>
    <row r="13" spans="1:21">
      <c r="A13" s="3" t="s">
        <v>24</v>
      </c>
      <c r="B13" s="138">
        <f>SUM(B6:B12)</f>
        <v>2308.46</v>
      </c>
      <c r="C13" s="138" t="s">
        <v>237</v>
      </c>
      <c r="D13" s="240"/>
      <c r="E13" s="6"/>
      <c r="L13" s="111">
        <f>B13/B42</f>
        <v>7.816084436803207E-2</v>
      </c>
      <c r="M13" s="111"/>
      <c r="N13" s="103"/>
      <c r="O13" s="103"/>
      <c r="P13" s="103"/>
      <c r="Q13" s="103"/>
      <c r="R13" s="103"/>
      <c r="S13" s="103"/>
      <c r="T13" s="103"/>
      <c r="U13" s="103"/>
    </row>
    <row r="14" spans="1:21">
      <c r="B14" s="9"/>
      <c r="C14" s="9"/>
      <c r="D14" s="240"/>
      <c r="L14" s="29"/>
      <c r="M14" s="29"/>
      <c r="N14" s="103"/>
      <c r="O14" s="103"/>
      <c r="P14" s="103"/>
      <c r="Q14" s="103"/>
      <c r="R14" s="103"/>
      <c r="S14" s="103"/>
      <c r="T14" s="103"/>
      <c r="U14" s="103"/>
    </row>
    <row r="15" spans="1:21">
      <c r="A15" s="2" t="s">
        <v>4</v>
      </c>
      <c r="B15" s="9"/>
      <c r="C15" s="9"/>
      <c r="D15" s="240"/>
      <c r="L15" s="29"/>
      <c r="M15" s="29"/>
      <c r="N15" s="103"/>
      <c r="O15" s="103"/>
      <c r="P15" s="103"/>
      <c r="Q15" s="103"/>
      <c r="R15" s="103"/>
      <c r="S15" s="103"/>
      <c r="T15" s="103"/>
      <c r="U15" s="103"/>
    </row>
    <row r="16" spans="1:21">
      <c r="A16" t="s">
        <v>5</v>
      </c>
      <c r="B16" s="9">
        <v>3888</v>
      </c>
      <c r="C16" s="9"/>
      <c r="D16" s="240"/>
      <c r="E16" s="52" t="s">
        <v>747</v>
      </c>
      <c r="F16" s="30"/>
      <c r="G16" s="30"/>
      <c r="H16" s="30"/>
      <c r="I16" s="30"/>
      <c r="J16" s="30"/>
      <c r="K16" s="30"/>
      <c r="L16" s="172"/>
      <c r="M16" s="172"/>
      <c r="N16" s="103" t="s">
        <v>693</v>
      </c>
      <c r="O16" s="103"/>
      <c r="P16" s="103"/>
      <c r="Q16" s="103"/>
      <c r="R16" s="103"/>
      <c r="S16" s="103"/>
      <c r="T16" s="103"/>
      <c r="U16" s="103"/>
    </row>
    <row r="17" spans="1:21" ht="24.75" customHeight="1">
      <c r="A17" t="s">
        <v>69</v>
      </c>
      <c r="B17" s="9">
        <v>755.4</v>
      </c>
      <c r="C17" s="9"/>
      <c r="D17" s="240"/>
      <c r="E17" s="321" t="s">
        <v>748</v>
      </c>
      <c r="F17" s="321"/>
      <c r="G17" s="321"/>
      <c r="H17" s="321"/>
      <c r="I17" s="321"/>
      <c r="J17" s="321"/>
      <c r="K17" s="321"/>
      <c r="L17" s="172"/>
      <c r="M17" s="172"/>
      <c r="N17" s="103" t="s">
        <v>693</v>
      </c>
      <c r="O17" s="103"/>
      <c r="P17" s="103"/>
      <c r="Q17" s="103"/>
      <c r="R17" s="103"/>
      <c r="S17" s="103"/>
      <c r="T17" s="103"/>
      <c r="U17" s="103"/>
    </row>
    <row r="18" spans="1:21">
      <c r="A18" t="s">
        <v>6</v>
      </c>
      <c r="B18" s="102">
        <v>1117.3</v>
      </c>
      <c r="C18" s="9"/>
      <c r="D18" s="240"/>
      <c r="E18" s="120" t="s">
        <v>694</v>
      </c>
      <c r="F18" s="103"/>
      <c r="G18" s="103"/>
      <c r="H18" s="103"/>
      <c r="I18" s="103"/>
      <c r="J18" s="103"/>
      <c r="K18" s="103"/>
      <c r="L18" s="111"/>
      <c r="M18" s="111" t="s">
        <v>518</v>
      </c>
      <c r="N18" s="110" t="s">
        <v>519</v>
      </c>
      <c r="O18" s="103"/>
      <c r="P18" s="103"/>
      <c r="Q18" s="103"/>
      <c r="R18" s="103"/>
      <c r="S18" s="103"/>
      <c r="T18" s="103"/>
      <c r="U18" s="103"/>
    </row>
    <row r="19" spans="1:21">
      <c r="A19" s="3" t="s">
        <v>24</v>
      </c>
      <c r="B19" s="112">
        <f>SUM(B16:B18)</f>
        <v>5760.7</v>
      </c>
      <c r="C19" s="21"/>
      <c r="D19" s="240"/>
      <c r="L19" s="111">
        <f>B19/B42</f>
        <v>0.19504829026750403</v>
      </c>
      <c r="M19" s="111"/>
      <c r="N19" s="103"/>
      <c r="O19" s="103"/>
      <c r="P19" s="103"/>
      <c r="Q19" s="103"/>
      <c r="R19" s="103"/>
      <c r="S19" s="103"/>
      <c r="T19" s="103"/>
      <c r="U19" s="103"/>
    </row>
    <row r="20" spans="1:21">
      <c r="B20" s="9"/>
      <c r="C20" s="9"/>
      <c r="D20" s="240"/>
      <c r="L20" s="29"/>
      <c r="M20" s="29"/>
      <c r="N20" s="103"/>
      <c r="O20" s="103"/>
      <c r="P20" s="103"/>
      <c r="Q20" s="103"/>
      <c r="R20" s="103"/>
      <c r="S20" s="103"/>
      <c r="T20" s="103"/>
      <c r="U20" s="103"/>
    </row>
    <row r="21" spans="1:21">
      <c r="A21" s="2" t="s">
        <v>99</v>
      </c>
      <c r="B21" s="9"/>
      <c r="C21" s="9"/>
      <c r="D21" s="240"/>
      <c r="L21" s="29"/>
      <c r="M21" s="29"/>
      <c r="N21" s="103"/>
      <c r="O21" s="103"/>
      <c r="P21" s="103"/>
      <c r="Q21" s="103"/>
      <c r="R21" s="103"/>
      <c r="S21" s="103"/>
      <c r="T21" s="103"/>
      <c r="U21" s="103"/>
    </row>
    <row r="22" spans="1:21">
      <c r="A22" t="s">
        <v>100</v>
      </c>
      <c r="B22" s="45">
        <v>1695.1</v>
      </c>
      <c r="C22" s="45"/>
      <c r="D22" s="240"/>
      <c r="E22" s="52" t="s">
        <v>696</v>
      </c>
      <c r="L22" s="29"/>
      <c r="M22" s="29"/>
      <c r="N22" s="110" t="s">
        <v>695</v>
      </c>
      <c r="O22" s="103"/>
      <c r="P22" s="103"/>
      <c r="Q22" s="103"/>
      <c r="R22" s="103"/>
      <c r="S22" s="103"/>
      <c r="T22" s="103"/>
      <c r="U22" s="103"/>
    </row>
    <row r="23" spans="1:21">
      <c r="A23" t="s">
        <v>709</v>
      </c>
      <c r="B23" s="45">
        <v>359.6</v>
      </c>
      <c r="C23" s="45"/>
      <c r="D23" s="242"/>
      <c r="E23" s="52" t="s">
        <v>749</v>
      </c>
      <c r="L23" s="29"/>
      <c r="M23" s="29"/>
      <c r="N23" s="110"/>
      <c r="O23" s="103"/>
      <c r="P23" s="103"/>
      <c r="Q23" s="103"/>
      <c r="R23" s="103"/>
      <c r="S23" s="103"/>
      <c r="T23" s="103"/>
      <c r="U23" s="103"/>
    </row>
    <row r="24" spans="1:21">
      <c r="A24" s="3" t="s">
        <v>24</v>
      </c>
      <c r="B24" s="21">
        <f>SUM(B22:B23)</f>
        <v>2054.6999999999998</v>
      </c>
      <c r="C24" s="21"/>
      <c r="D24" s="240"/>
      <c r="L24" s="111">
        <f>B24/B42</f>
        <v>6.9568927736670977E-2</v>
      </c>
      <c r="M24" s="111"/>
      <c r="N24" s="103"/>
      <c r="O24" s="103"/>
      <c r="P24" s="103"/>
      <c r="Q24" s="103"/>
      <c r="R24" s="103"/>
      <c r="S24" s="103"/>
      <c r="T24" s="103"/>
      <c r="U24" s="103"/>
    </row>
    <row r="25" spans="1:21">
      <c r="B25" s="9"/>
      <c r="C25" s="9"/>
      <c r="D25" s="240"/>
      <c r="L25" s="29"/>
      <c r="M25" s="29"/>
      <c r="N25" s="103"/>
      <c r="O25" s="103"/>
      <c r="P25" s="103"/>
      <c r="Q25" s="103"/>
      <c r="R25" s="103"/>
      <c r="S25" s="103"/>
      <c r="T25" s="103"/>
      <c r="U25" s="103"/>
    </row>
    <row r="26" spans="1:21">
      <c r="A26" s="2" t="s">
        <v>18</v>
      </c>
      <c r="B26" s="9"/>
      <c r="C26" s="9"/>
      <c r="D26" s="240"/>
      <c r="J26" s="9"/>
      <c r="L26" s="29"/>
      <c r="M26" s="29"/>
      <c r="N26" s="103"/>
      <c r="O26" s="103"/>
      <c r="P26" s="103"/>
      <c r="Q26" s="103"/>
      <c r="R26" s="103"/>
      <c r="S26" s="103"/>
      <c r="T26" s="103"/>
      <c r="U26" s="103"/>
    </row>
    <row r="27" spans="1:21">
      <c r="A27" t="s">
        <v>17</v>
      </c>
      <c r="B27" s="102">
        <f>'SA $ by prov 11-12'!B57</f>
        <v>7552.6472289156618</v>
      </c>
      <c r="C27" s="46"/>
      <c r="D27" s="248" t="s">
        <v>903</v>
      </c>
      <c r="E27" s="52" t="s">
        <v>750</v>
      </c>
      <c r="F27" s="30"/>
      <c r="G27" s="30"/>
      <c r="H27" s="30"/>
      <c r="I27" s="30"/>
      <c r="J27" s="30"/>
      <c r="K27" s="30"/>
      <c r="L27" s="172"/>
      <c r="M27" s="172"/>
      <c r="N27" s="120" t="s">
        <v>751</v>
      </c>
      <c r="O27" s="103"/>
      <c r="P27" s="103"/>
      <c r="Q27" s="103"/>
      <c r="R27" s="103"/>
      <c r="S27" s="103"/>
      <c r="T27" s="103"/>
      <c r="U27" s="103"/>
    </row>
    <row r="28" spans="1:21">
      <c r="A28" t="s">
        <v>12</v>
      </c>
      <c r="B28" s="102">
        <f>'SA $ by prov 11-12'!B58</f>
        <v>461.23000000000008</v>
      </c>
      <c r="C28" s="46" t="s">
        <v>437</v>
      </c>
      <c r="D28" s="243"/>
      <c r="E28" s="120" t="s">
        <v>802</v>
      </c>
      <c r="F28" s="30"/>
      <c r="G28" s="30"/>
      <c r="H28" s="30"/>
      <c r="I28" s="30"/>
      <c r="J28" s="30"/>
      <c r="K28" s="30"/>
      <c r="L28" s="172"/>
      <c r="M28" s="172"/>
      <c r="N28" s="120" t="s">
        <v>803</v>
      </c>
      <c r="O28" s="103"/>
      <c r="P28" s="103"/>
      <c r="Q28" s="103"/>
      <c r="R28" s="103"/>
      <c r="S28" s="103"/>
      <c r="T28" s="103"/>
      <c r="U28" s="103"/>
    </row>
    <row r="29" spans="1:21">
      <c r="A29" s="3" t="s">
        <v>24</v>
      </c>
      <c r="B29" s="112">
        <f>SUM(B27:B28)</f>
        <v>8013.8772289156623</v>
      </c>
      <c r="C29" s="46"/>
      <c r="D29" s="248" t="s">
        <v>903</v>
      </c>
      <c r="L29" s="111">
        <f>B29/B42</f>
        <v>0.27133734648804536</v>
      </c>
      <c r="M29" s="111"/>
      <c r="N29" s="103"/>
      <c r="O29" s="103"/>
      <c r="P29" s="103"/>
      <c r="Q29" s="103"/>
      <c r="R29" s="103"/>
      <c r="S29" s="103"/>
      <c r="T29" s="103"/>
      <c r="U29" s="103"/>
    </row>
    <row r="30" spans="1:21">
      <c r="B30" s="9"/>
      <c r="C30" s="9"/>
      <c r="D30" s="240"/>
      <c r="L30" s="29"/>
      <c r="M30" s="29"/>
      <c r="N30" s="103"/>
      <c r="O30" s="103"/>
      <c r="P30" s="103"/>
      <c r="Q30" s="103"/>
      <c r="R30" s="103"/>
      <c r="S30" s="103"/>
      <c r="T30" s="103"/>
      <c r="U30" s="103"/>
    </row>
    <row r="31" spans="1:21">
      <c r="A31" s="2" t="s">
        <v>13</v>
      </c>
      <c r="B31" s="9"/>
      <c r="C31" s="9"/>
      <c r="D31" s="240"/>
      <c r="L31" s="29"/>
      <c r="M31" s="29"/>
      <c r="N31" s="103"/>
      <c r="O31" s="103"/>
      <c r="P31" s="103"/>
      <c r="Q31" s="103"/>
      <c r="R31" s="103"/>
      <c r="S31" s="103"/>
      <c r="T31" s="103"/>
      <c r="U31" s="103"/>
    </row>
    <row r="32" spans="1:21">
      <c r="A32" t="s">
        <v>7</v>
      </c>
      <c r="B32" s="9">
        <v>5338</v>
      </c>
      <c r="C32" s="9"/>
      <c r="D32" s="240">
        <v>2011</v>
      </c>
      <c r="E32" t="s">
        <v>521</v>
      </c>
      <c r="L32" s="29"/>
      <c r="M32" s="29"/>
      <c r="N32" s="110" t="s">
        <v>205</v>
      </c>
      <c r="O32" s="103"/>
      <c r="P32" s="103"/>
      <c r="Q32" s="103"/>
      <c r="R32" s="103"/>
      <c r="S32" s="103"/>
      <c r="T32" s="103"/>
      <c r="U32" s="103"/>
    </row>
    <row r="33" spans="1:21">
      <c r="B33" s="9"/>
      <c r="C33" s="9"/>
      <c r="D33" s="240"/>
      <c r="E33" t="s">
        <v>167</v>
      </c>
      <c r="L33" s="29"/>
      <c r="M33" s="29"/>
      <c r="N33" s="103" t="s">
        <v>206</v>
      </c>
      <c r="O33" s="103"/>
      <c r="P33" s="103"/>
      <c r="Q33" s="103"/>
      <c r="R33" s="103"/>
      <c r="S33" s="103"/>
      <c r="T33" s="103"/>
      <c r="U33" s="103"/>
    </row>
    <row r="34" spans="1:21">
      <c r="A34" t="s">
        <v>8</v>
      </c>
      <c r="B34" s="45">
        <v>190</v>
      </c>
      <c r="C34" s="9" t="s">
        <v>437</v>
      </c>
      <c r="D34" s="240"/>
      <c r="E34" t="s">
        <v>608</v>
      </c>
      <c r="L34" s="29"/>
      <c r="M34" s="29"/>
      <c r="N34" s="110" t="s">
        <v>522</v>
      </c>
      <c r="O34" s="103"/>
      <c r="P34" s="103"/>
      <c r="Q34" s="103"/>
      <c r="R34" s="103"/>
      <c r="S34" s="103"/>
      <c r="T34" s="103"/>
      <c r="U34" s="103"/>
    </row>
    <row r="35" spans="1:21">
      <c r="A35" s="3" t="s">
        <v>57</v>
      </c>
      <c r="B35" s="21">
        <f>SUM(B32:B34)</f>
        <v>5528</v>
      </c>
      <c r="C35" s="21"/>
      <c r="D35" s="240"/>
      <c r="L35" s="111">
        <f>B35/B42</f>
        <v>0.18716943229099975</v>
      </c>
      <c r="M35" s="111"/>
      <c r="N35" s="103"/>
      <c r="O35" s="103"/>
      <c r="P35" s="103"/>
      <c r="Q35" s="103"/>
      <c r="R35" s="103"/>
      <c r="S35" s="103"/>
      <c r="T35" s="103"/>
      <c r="U35" s="103"/>
    </row>
    <row r="36" spans="1:21">
      <c r="A36" s="3"/>
      <c r="B36" s="21"/>
      <c r="C36" s="21"/>
      <c r="D36" s="240"/>
      <c r="L36" s="29"/>
      <c r="M36" s="29"/>
      <c r="N36" s="103"/>
      <c r="O36" s="103"/>
      <c r="P36" s="103"/>
      <c r="Q36" s="103"/>
      <c r="R36" s="103"/>
      <c r="S36" s="103"/>
      <c r="T36" s="103"/>
      <c r="U36" s="103"/>
    </row>
    <row r="37" spans="1:21">
      <c r="A37" t="s">
        <v>64</v>
      </c>
      <c r="B37" s="9"/>
      <c r="C37" s="9"/>
      <c r="D37" s="240"/>
      <c r="L37" s="29"/>
      <c r="M37" s="29"/>
      <c r="N37" s="103"/>
      <c r="O37" s="103"/>
      <c r="P37" s="103"/>
      <c r="Q37" s="103"/>
      <c r="R37" s="103"/>
      <c r="S37" s="103"/>
      <c r="T37" s="103"/>
      <c r="U37" s="103"/>
    </row>
    <row r="38" spans="1:21">
      <c r="A38" t="s">
        <v>9</v>
      </c>
      <c r="B38" s="9">
        <v>1167</v>
      </c>
      <c r="C38" s="9"/>
      <c r="D38" s="240">
        <v>2011</v>
      </c>
      <c r="E38" t="s">
        <v>524</v>
      </c>
      <c r="L38" s="29"/>
      <c r="M38" s="29"/>
      <c r="N38" s="103" t="s">
        <v>75</v>
      </c>
      <c r="O38" s="103"/>
      <c r="P38" s="103"/>
      <c r="Q38" s="103"/>
      <c r="R38" s="103"/>
      <c r="S38" s="103"/>
      <c r="T38" s="103"/>
      <c r="U38" s="103"/>
    </row>
    <row r="39" spans="1:21">
      <c r="A39" t="s">
        <v>10</v>
      </c>
      <c r="B39" s="9">
        <v>4702</v>
      </c>
      <c r="C39" s="9"/>
      <c r="D39" s="240"/>
      <c r="E39" t="s">
        <v>524</v>
      </c>
      <c r="L39" s="29"/>
      <c r="M39" s="29"/>
      <c r="N39" s="103" t="s">
        <v>692</v>
      </c>
      <c r="O39" s="103"/>
      <c r="P39" s="103"/>
      <c r="Q39" s="103"/>
      <c r="R39" s="103"/>
      <c r="S39" s="103"/>
      <c r="T39" s="103"/>
      <c r="U39" s="103"/>
    </row>
    <row r="40" spans="1:21">
      <c r="A40" s="3" t="s">
        <v>24</v>
      </c>
      <c r="B40" s="21">
        <f>SUM(B38:B39)</f>
        <v>5869</v>
      </c>
      <c r="C40" s="21"/>
      <c r="D40" s="240"/>
      <c r="L40" s="111">
        <f>B40/B42</f>
        <v>0.19871515884874774</v>
      </c>
      <c r="M40" s="111"/>
      <c r="N40" s="103"/>
      <c r="O40" s="103"/>
      <c r="P40" s="103"/>
      <c r="Q40" s="103"/>
      <c r="R40" s="103"/>
      <c r="S40" s="103"/>
      <c r="T40" s="103"/>
      <c r="U40" s="103"/>
    </row>
    <row r="41" spans="1:21">
      <c r="B41" s="9"/>
      <c r="C41" s="9"/>
      <c r="D41" s="240"/>
      <c r="N41" s="103"/>
      <c r="O41" s="103"/>
      <c r="P41" s="103"/>
      <c r="Q41" s="103"/>
      <c r="R41" s="103"/>
      <c r="S41" s="103"/>
      <c r="T41" s="103"/>
      <c r="U41" s="103"/>
    </row>
    <row r="42" spans="1:21" ht="15.75">
      <c r="A42" s="4" t="s">
        <v>23</v>
      </c>
      <c r="B42" s="28">
        <f>SUM(B13+B19+B24+B29+B35+B40)</f>
        <v>29534.737228915663</v>
      </c>
      <c r="C42" s="46"/>
      <c r="D42" s="248" t="s">
        <v>904</v>
      </c>
    </row>
    <row r="43" spans="1:21" ht="15.75">
      <c r="A43" s="4"/>
      <c r="B43" s="4"/>
      <c r="C43" s="4"/>
    </row>
    <row r="44" spans="1:21" ht="15.75">
      <c r="A44" s="204" t="s">
        <v>753</v>
      </c>
      <c r="B44" s="4"/>
      <c r="C44" s="4"/>
    </row>
    <row r="45" spans="1:21">
      <c r="A45" s="149" t="s">
        <v>813</v>
      </c>
      <c r="B45" s="136"/>
      <c r="C45" s="136"/>
    </row>
    <row r="46" spans="1:21">
      <c r="A46" s="52" t="s">
        <v>905</v>
      </c>
      <c r="B46" s="239"/>
      <c r="C46" s="239"/>
    </row>
    <row r="47" spans="1:21">
      <c r="B47" s="9"/>
      <c r="C47" s="9"/>
      <c r="D47" s="240"/>
    </row>
    <row r="48" spans="1:21">
      <c r="A48" s="39"/>
      <c r="B48" s="45"/>
      <c r="C48" s="45"/>
      <c r="D48" s="247"/>
    </row>
    <row r="49" spans="1:13">
      <c r="B49" s="9"/>
      <c r="C49" s="9"/>
      <c r="D49" s="240"/>
    </row>
    <row r="50" spans="1:13">
      <c r="B50" s="9"/>
      <c r="C50" s="9"/>
      <c r="D50" s="240"/>
    </row>
    <row r="51" spans="1:13">
      <c r="B51" s="9"/>
      <c r="C51" s="9"/>
      <c r="D51" s="240"/>
    </row>
    <row r="52" spans="1:13">
      <c r="B52" s="9"/>
      <c r="C52" s="9"/>
      <c r="D52" s="240"/>
    </row>
    <row r="53" spans="1:13">
      <c r="B53" s="9"/>
      <c r="C53" s="9"/>
      <c r="D53" s="240"/>
      <c r="L53" s="7"/>
      <c r="M53" s="7"/>
    </row>
    <row r="54" spans="1:13">
      <c r="A54" s="3"/>
      <c r="B54" s="21"/>
      <c r="C54" s="21"/>
      <c r="D54" s="240"/>
      <c r="L54" s="7"/>
      <c r="M54" s="7"/>
    </row>
    <row r="55" spans="1:13">
      <c r="B55" s="9"/>
      <c r="C55" s="9"/>
      <c r="D55" s="240"/>
      <c r="L55" s="7"/>
      <c r="M55" s="7"/>
    </row>
    <row r="56" spans="1:13">
      <c r="A56" s="2"/>
      <c r="B56" s="9"/>
      <c r="C56" s="9"/>
      <c r="D56" s="240"/>
      <c r="L56" s="7"/>
      <c r="M56" s="7"/>
    </row>
    <row r="57" spans="1:13">
      <c r="B57" s="9"/>
      <c r="C57" s="9"/>
      <c r="D57" s="240"/>
      <c r="L57" s="7"/>
      <c r="M57" s="7"/>
    </row>
    <row r="58" spans="1:13">
      <c r="B58" s="9"/>
      <c r="C58" s="9"/>
      <c r="D58" s="240"/>
      <c r="L58" s="7"/>
      <c r="M58" s="7"/>
    </row>
    <row r="59" spans="1:13">
      <c r="B59" s="9"/>
      <c r="C59" s="9"/>
      <c r="D59" s="240"/>
      <c r="L59" s="7"/>
      <c r="M59" s="7"/>
    </row>
    <row r="60" spans="1:13">
      <c r="A60" s="3"/>
      <c r="B60" s="21"/>
      <c r="C60" s="21"/>
      <c r="D60" s="240"/>
      <c r="L60" s="7"/>
      <c r="M60" s="7"/>
    </row>
    <row r="61" spans="1:13">
      <c r="B61" s="9"/>
      <c r="C61" s="9"/>
      <c r="D61" s="240"/>
      <c r="L61" s="7"/>
      <c r="M61" s="7"/>
    </row>
    <row r="62" spans="1:13">
      <c r="A62" s="2"/>
      <c r="B62" s="9"/>
      <c r="C62" s="9"/>
      <c r="D62" s="240"/>
      <c r="L62" s="7"/>
      <c r="M62" s="7"/>
    </row>
    <row r="63" spans="1:13">
      <c r="B63" s="9"/>
      <c r="C63" s="9"/>
      <c r="D63" s="240"/>
      <c r="L63" s="7"/>
      <c r="M63" s="7"/>
    </row>
    <row r="64" spans="1:13">
      <c r="A64" s="3"/>
      <c r="B64" s="21"/>
      <c r="C64" s="21"/>
      <c r="D64" s="240"/>
      <c r="L64" s="7"/>
      <c r="M64" s="7"/>
    </row>
    <row r="65" spans="1:13">
      <c r="B65" s="9"/>
      <c r="C65" s="9"/>
      <c r="D65" s="240"/>
      <c r="L65" s="7"/>
      <c r="M65" s="7"/>
    </row>
    <row r="66" spans="1:13">
      <c r="A66" s="2"/>
      <c r="B66" s="9"/>
      <c r="C66" s="9"/>
      <c r="D66" s="240"/>
      <c r="J66" s="9"/>
      <c r="L66" s="7"/>
      <c r="M66" s="7"/>
    </row>
    <row r="67" spans="1:13">
      <c r="B67" s="9"/>
      <c r="C67" s="9"/>
      <c r="D67" s="240"/>
      <c r="L67" s="7"/>
      <c r="M67" s="7"/>
    </row>
    <row r="68" spans="1:13">
      <c r="B68" s="9"/>
      <c r="C68" s="9"/>
      <c r="D68" s="240"/>
      <c r="L68" s="7"/>
      <c r="M68" s="7"/>
    </row>
    <row r="69" spans="1:13">
      <c r="A69" s="3"/>
      <c r="B69" s="21"/>
      <c r="C69" s="21"/>
      <c r="D69" s="240"/>
      <c r="L69" s="7"/>
      <c r="M69" s="7"/>
    </row>
    <row r="70" spans="1:13">
      <c r="B70" s="9"/>
      <c r="C70" s="9"/>
      <c r="D70" s="240"/>
      <c r="L70" s="7"/>
      <c r="M70" s="7"/>
    </row>
    <row r="71" spans="1:13">
      <c r="A71" s="2"/>
      <c r="B71" s="9"/>
      <c r="C71" s="9"/>
      <c r="D71" s="240"/>
      <c r="L71" s="7"/>
      <c r="M71" s="7"/>
    </row>
    <row r="72" spans="1:13">
      <c r="B72" s="9"/>
      <c r="C72" s="9"/>
      <c r="D72" s="240"/>
      <c r="L72" s="7"/>
      <c r="M72" s="7"/>
    </row>
    <row r="73" spans="1:13">
      <c r="B73" s="9"/>
      <c r="C73" s="9"/>
      <c r="D73" s="240"/>
      <c r="L73" s="7"/>
      <c r="M73" s="7"/>
    </row>
    <row r="74" spans="1:13">
      <c r="A74" s="3"/>
      <c r="B74" s="21"/>
      <c r="C74" s="21"/>
      <c r="D74" s="240"/>
      <c r="L74" s="7"/>
      <c r="M74" s="7"/>
    </row>
    <row r="75" spans="1:13">
      <c r="B75" s="9"/>
      <c r="C75" s="9"/>
      <c r="D75" s="240"/>
      <c r="L75" s="7"/>
      <c r="M75" s="7"/>
    </row>
    <row r="76" spans="1:13">
      <c r="B76" s="9"/>
      <c r="C76" s="9"/>
      <c r="D76" s="240"/>
      <c r="L76" s="7"/>
      <c r="M76" s="7"/>
    </row>
    <row r="77" spans="1:13">
      <c r="B77" s="9"/>
      <c r="C77" s="9"/>
      <c r="D77" s="240"/>
      <c r="L77" s="7"/>
      <c r="M77" s="7"/>
    </row>
    <row r="78" spans="1:13">
      <c r="A78" s="3"/>
      <c r="B78" s="21"/>
      <c r="C78" s="21"/>
      <c r="D78" s="240"/>
      <c r="L78" s="7"/>
      <c r="M78" s="7"/>
    </row>
    <row r="79" spans="1:13">
      <c r="B79" s="9"/>
      <c r="C79" s="9"/>
      <c r="D79" s="240"/>
    </row>
    <row r="80" spans="1:13" ht="15.75">
      <c r="A80" s="4"/>
      <c r="B80" s="17"/>
      <c r="C80" s="17"/>
    </row>
    <row r="81" spans="1:5" ht="15.75">
      <c r="A81" s="4"/>
      <c r="B81" s="4"/>
      <c r="C81" s="4"/>
    </row>
    <row r="82" spans="1:5" ht="15.75">
      <c r="A82" s="4"/>
      <c r="B82" s="4"/>
      <c r="C82" s="4"/>
    </row>
    <row r="93" spans="1:5">
      <c r="B93" s="6"/>
      <c r="C93" s="6"/>
      <c r="E93" s="7"/>
    </row>
    <row r="94" spans="1:5">
      <c r="B94" s="6"/>
      <c r="C94" s="6"/>
      <c r="E94" s="7"/>
    </row>
    <row r="95" spans="1:5">
      <c r="B95" s="6"/>
      <c r="C95" s="6"/>
      <c r="E95" s="7"/>
    </row>
    <row r="96" spans="1:5">
      <c r="B96" s="5"/>
      <c r="C96" s="5"/>
      <c r="E96" s="7"/>
    </row>
    <row r="99" spans="2:3">
      <c r="B99" s="8"/>
      <c r="C99" s="8"/>
    </row>
  </sheetData>
  <mergeCells count="1">
    <mergeCell ref="E17:K17"/>
  </mergeCells>
  <hyperlinks>
    <hyperlink ref="N32" r:id="rId1"/>
    <hyperlink ref="N18" r:id="rId2"/>
    <hyperlink ref="N22" r:id="rId3"/>
    <hyperlink ref="N6" r:id="rId4"/>
  </hyperlinks>
  <pageMargins left="0.70866141732283472" right="0.70866141732283472" top="0.74803149606299213" bottom="0.74803149606299213" header="0.31496062992125984" footer="0.31496062992125984"/>
  <pageSetup scale="57" orientation="landscape" verticalDpi="0" r:id="rId5"/>
</worksheet>
</file>

<file path=xl/worksheets/sheet6.xml><?xml version="1.0" encoding="utf-8"?>
<worksheet xmlns="http://schemas.openxmlformats.org/spreadsheetml/2006/main" xmlns:r="http://schemas.openxmlformats.org/officeDocument/2006/relationships">
  <sheetPr>
    <pageSetUpPr fitToPage="1"/>
  </sheetPr>
  <dimension ref="A1:U98"/>
  <sheetViews>
    <sheetView workbookViewId="0">
      <selection activeCell="A51" sqref="A51"/>
    </sheetView>
  </sheetViews>
  <sheetFormatPr defaultRowHeight="12.75"/>
  <cols>
    <col min="1" max="1" width="39.28515625" customWidth="1"/>
    <col min="2" max="2" width="10.7109375" bestFit="1" customWidth="1"/>
    <col min="3" max="3" width="2.7109375" customWidth="1"/>
    <col min="4" max="4" width="16.7109375" customWidth="1"/>
    <col min="13" max="13" width="2.7109375" customWidth="1"/>
  </cols>
  <sheetData>
    <row r="1" spans="1:14">
      <c r="B1" s="1" t="s">
        <v>171</v>
      </c>
      <c r="C1" s="1"/>
    </row>
    <row r="2" spans="1:14">
      <c r="B2" s="1" t="s">
        <v>515</v>
      </c>
      <c r="C2" s="1"/>
    </row>
    <row r="3" spans="1:14">
      <c r="B3" s="1" t="s">
        <v>16</v>
      </c>
      <c r="C3" s="1"/>
      <c r="E3" s="2" t="s">
        <v>59</v>
      </c>
      <c r="N3" s="2" t="s">
        <v>92</v>
      </c>
    </row>
    <row r="4" spans="1:14">
      <c r="A4" s="2" t="s">
        <v>11</v>
      </c>
    </row>
    <row r="6" spans="1:14">
      <c r="A6" t="s">
        <v>0</v>
      </c>
      <c r="B6" s="135">
        <v>650</v>
      </c>
      <c r="C6" s="143" t="s">
        <v>237</v>
      </c>
      <c r="D6" s="22" t="s">
        <v>517</v>
      </c>
      <c r="E6" s="52" t="s">
        <v>811</v>
      </c>
      <c r="N6" s="38" t="s">
        <v>810</v>
      </c>
    </row>
    <row r="7" spans="1:14">
      <c r="A7" t="s">
        <v>1</v>
      </c>
      <c r="B7" s="135">
        <v>1080</v>
      </c>
      <c r="C7" s="143" t="s">
        <v>237</v>
      </c>
      <c r="D7" s="22" t="s">
        <v>517</v>
      </c>
      <c r="E7" s="52" t="s">
        <v>811</v>
      </c>
      <c r="I7" t="s">
        <v>93</v>
      </c>
    </row>
    <row r="8" spans="1:14">
      <c r="A8" t="s">
        <v>14</v>
      </c>
      <c r="B8" s="9">
        <v>100</v>
      </c>
      <c r="C8" s="9"/>
      <c r="D8" s="22" t="s">
        <v>517</v>
      </c>
      <c r="E8" s="52" t="s">
        <v>811</v>
      </c>
    </row>
    <row r="9" spans="1:14">
      <c r="A9" t="s">
        <v>2</v>
      </c>
      <c r="B9" s="9">
        <v>5</v>
      </c>
      <c r="C9" s="9"/>
      <c r="D9" s="22" t="s">
        <v>517</v>
      </c>
      <c r="E9" s="52" t="s">
        <v>811</v>
      </c>
    </row>
    <row r="10" spans="1:14">
      <c r="A10" s="52" t="s">
        <v>273</v>
      </c>
      <c r="B10" s="9"/>
      <c r="C10" s="9"/>
      <c r="D10" s="22" t="s">
        <v>517</v>
      </c>
      <c r="E10" s="52" t="s">
        <v>811</v>
      </c>
    </row>
    <row r="11" spans="1:14">
      <c r="A11" t="s">
        <v>3</v>
      </c>
      <c r="B11" s="9">
        <v>135</v>
      </c>
      <c r="C11" s="9"/>
      <c r="D11" s="22" t="s">
        <v>517</v>
      </c>
      <c r="E11" s="52" t="s">
        <v>811</v>
      </c>
    </row>
    <row r="12" spans="1:14">
      <c r="A12" t="s">
        <v>15</v>
      </c>
      <c r="B12" s="9">
        <v>220.4</v>
      </c>
      <c r="C12" s="9"/>
      <c r="D12" s="22" t="s">
        <v>517</v>
      </c>
      <c r="E12" s="173" t="s">
        <v>578</v>
      </c>
      <c r="F12" s="30"/>
      <c r="G12" s="30"/>
      <c r="H12" s="30"/>
      <c r="I12" s="30"/>
      <c r="J12" s="30"/>
      <c r="K12" s="30"/>
      <c r="L12" s="171"/>
      <c r="M12" s="171"/>
      <c r="N12" s="38" t="s">
        <v>579</v>
      </c>
    </row>
    <row r="13" spans="1:14">
      <c r="A13" s="3" t="s">
        <v>24</v>
      </c>
      <c r="B13" s="138">
        <f>SUM(B6:B12)</f>
        <v>2190.4</v>
      </c>
      <c r="C13" s="138" t="s">
        <v>237</v>
      </c>
      <c r="D13" s="22"/>
      <c r="E13" s="6"/>
      <c r="L13" s="111">
        <f>B13/B41</f>
        <v>7.6485355515780909E-2</v>
      </c>
      <c r="M13" s="111" t="s">
        <v>237</v>
      </c>
    </row>
    <row r="14" spans="1:14">
      <c r="B14" s="9"/>
      <c r="C14" s="9"/>
      <c r="D14" s="22"/>
      <c r="L14" s="29"/>
      <c r="M14" s="29"/>
    </row>
    <row r="15" spans="1:14">
      <c r="A15" s="2" t="s">
        <v>4</v>
      </c>
      <c r="B15" s="9"/>
      <c r="C15" s="9"/>
      <c r="D15" s="22"/>
      <c r="L15" s="29"/>
      <c r="M15" s="29"/>
    </row>
    <row r="16" spans="1:14">
      <c r="A16" t="s">
        <v>5</v>
      </c>
      <c r="B16" s="9">
        <v>3679</v>
      </c>
      <c r="C16" s="9"/>
      <c r="D16" s="22"/>
      <c r="E16" s="52" t="s">
        <v>582</v>
      </c>
      <c r="F16" s="30"/>
      <c r="G16" s="30"/>
      <c r="H16" s="30"/>
      <c r="I16" s="30"/>
      <c r="J16" s="30"/>
      <c r="K16" s="30"/>
      <c r="L16" s="172"/>
      <c r="M16" s="172"/>
      <c r="N16" t="s">
        <v>366</v>
      </c>
    </row>
    <row r="17" spans="1:21">
      <c r="A17" t="s">
        <v>69</v>
      </c>
      <c r="B17" s="9">
        <v>756</v>
      </c>
      <c r="C17" s="9"/>
      <c r="D17" s="22"/>
      <c r="E17" s="52" t="s">
        <v>583</v>
      </c>
      <c r="F17" s="30"/>
      <c r="G17" s="30"/>
      <c r="H17" s="30"/>
      <c r="I17" s="30"/>
      <c r="J17" s="30"/>
      <c r="K17" s="30"/>
      <c r="L17" s="172"/>
      <c r="M17" s="172"/>
      <c r="N17" t="s">
        <v>366</v>
      </c>
    </row>
    <row r="18" spans="1:21">
      <c r="A18" t="s">
        <v>6</v>
      </c>
      <c r="B18" s="102">
        <v>1066</v>
      </c>
      <c r="C18" s="9"/>
      <c r="D18" s="22"/>
      <c r="E18" s="103" t="s">
        <v>520</v>
      </c>
      <c r="F18" s="103"/>
      <c r="G18" s="103"/>
      <c r="H18" s="103"/>
      <c r="I18" s="103"/>
      <c r="J18" s="103"/>
      <c r="K18" s="103"/>
      <c r="L18" s="111"/>
      <c r="M18" s="111" t="s">
        <v>518</v>
      </c>
      <c r="N18" s="110" t="s">
        <v>519</v>
      </c>
      <c r="O18" s="103"/>
      <c r="P18" s="103"/>
      <c r="Q18" s="103"/>
      <c r="R18" s="103"/>
      <c r="S18" s="103"/>
      <c r="T18" s="103"/>
      <c r="U18" s="103"/>
    </row>
    <row r="19" spans="1:21">
      <c r="A19" s="3" t="s">
        <v>24</v>
      </c>
      <c r="B19" s="112">
        <f>SUM(B16:B18)</f>
        <v>5501</v>
      </c>
      <c r="C19" s="21"/>
      <c r="D19" s="22"/>
      <c r="L19" s="111">
        <f>B19/B41</f>
        <v>0.1920863498412668</v>
      </c>
      <c r="M19" s="111" t="s">
        <v>237</v>
      </c>
    </row>
    <row r="20" spans="1:21">
      <c r="B20" s="9"/>
      <c r="C20" s="9"/>
      <c r="D20" s="22"/>
      <c r="L20" s="29"/>
      <c r="M20" s="29"/>
    </row>
    <row r="21" spans="1:21">
      <c r="A21" s="2" t="s">
        <v>99</v>
      </c>
      <c r="B21" s="9"/>
      <c r="C21" s="9"/>
      <c r="D21" s="22"/>
      <c r="L21" s="29"/>
      <c r="M21" s="29"/>
    </row>
    <row r="22" spans="1:21">
      <c r="A22" t="s">
        <v>100</v>
      </c>
      <c r="B22" s="45">
        <f>1713.6+404.2</f>
        <v>2117.7999999999997</v>
      </c>
      <c r="C22" s="45" t="s">
        <v>237</v>
      </c>
      <c r="D22" s="275" t="s">
        <v>777</v>
      </c>
      <c r="E22" s="52" t="s">
        <v>696</v>
      </c>
      <c r="L22" s="29"/>
      <c r="M22" s="29"/>
      <c r="N22" s="38" t="s">
        <v>775</v>
      </c>
    </row>
    <row r="23" spans="1:21">
      <c r="A23" s="3" t="s">
        <v>24</v>
      </c>
      <c r="B23" s="21">
        <f>SUM(B22)</f>
        <v>2117.7999999999997</v>
      </c>
      <c r="C23" s="21" t="s">
        <v>237</v>
      </c>
      <c r="D23" s="22"/>
      <c r="E23" t="s">
        <v>776</v>
      </c>
      <c r="L23" s="111">
        <f>B23/B41</f>
        <v>7.3950276621311539E-2</v>
      </c>
      <c r="M23" s="111"/>
    </row>
    <row r="24" spans="1:21">
      <c r="B24" s="9"/>
      <c r="C24" s="9"/>
      <c r="D24" s="22"/>
      <c r="L24" s="29"/>
      <c r="M24" s="29"/>
    </row>
    <row r="25" spans="1:21">
      <c r="A25" s="2" t="s">
        <v>18</v>
      </c>
      <c r="B25" s="9"/>
      <c r="C25" s="9"/>
      <c r="D25" s="22"/>
      <c r="J25" s="9"/>
      <c r="L25" s="29"/>
      <c r="M25" s="29"/>
    </row>
    <row r="26" spans="1:21">
      <c r="A26" t="s">
        <v>17</v>
      </c>
      <c r="B26" s="102">
        <f>'SA $ by prov 10-11'!B60</f>
        <v>7306.0619753086439</v>
      </c>
      <c r="C26" s="181" t="s">
        <v>237</v>
      </c>
      <c r="D26" s="293" t="s">
        <v>900</v>
      </c>
      <c r="E26" s="52" t="s">
        <v>584</v>
      </c>
      <c r="F26" s="30"/>
      <c r="G26" s="30"/>
      <c r="H26" s="30"/>
      <c r="I26" s="30"/>
      <c r="J26" s="30"/>
      <c r="K26" s="30"/>
      <c r="L26" s="172"/>
      <c r="M26" s="172"/>
      <c r="N26" s="52" t="s">
        <v>585</v>
      </c>
    </row>
    <row r="27" spans="1:21">
      <c r="A27" t="s">
        <v>12</v>
      </c>
      <c r="B27" s="135">
        <f>'SA $ by prov 10-11'!B61</f>
        <v>451.00000000000006</v>
      </c>
      <c r="C27" s="143" t="s">
        <v>237</v>
      </c>
      <c r="D27" s="279" t="s">
        <v>777</v>
      </c>
      <c r="E27" s="120" t="s">
        <v>802</v>
      </c>
      <c r="F27" s="30"/>
      <c r="G27" s="30"/>
      <c r="H27" s="30"/>
      <c r="I27" s="30"/>
      <c r="J27" s="30"/>
      <c r="K27" s="30"/>
      <c r="L27" s="172"/>
      <c r="M27" s="172"/>
      <c r="N27" s="52" t="s">
        <v>803</v>
      </c>
    </row>
    <row r="28" spans="1:21">
      <c r="A28" s="3" t="s">
        <v>24</v>
      </c>
      <c r="B28" s="112">
        <f>SUM(B26:B27)</f>
        <v>7757.0619753086439</v>
      </c>
      <c r="C28" s="181" t="s">
        <v>237</v>
      </c>
      <c r="D28" s="293" t="s">
        <v>900</v>
      </c>
      <c r="L28" s="111">
        <f>B28/B41</f>
        <v>0.27086451923823385</v>
      </c>
      <c r="M28" s="111" t="s">
        <v>237</v>
      </c>
    </row>
    <row r="29" spans="1:21">
      <c r="B29" s="9"/>
      <c r="C29" s="9"/>
      <c r="D29" s="22"/>
      <c r="L29" s="29"/>
      <c r="M29" s="29"/>
    </row>
    <row r="30" spans="1:21">
      <c r="A30" s="2" t="s">
        <v>13</v>
      </c>
      <c r="B30" s="9"/>
      <c r="C30" s="9"/>
      <c r="D30" s="22"/>
      <c r="L30" s="29"/>
      <c r="M30" s="29"/>
    </row>
    <row r="31" spans="1:21">
      <c r="A31" t="s">
        <v>7</v>
      </c>
      <c r="B31" s="9">
        <v>5207.8999999999996</v>
      </c>
      <c r="C31" s="9"/>
      <c r="D31" s="22">
        <v>2010</v>
      </c>
      <c r="E31" t="s">
        <v>521</v>
      </c>
      <c r="L31" s="29"/>
      <c r="M31" s="29"/>
      <c r="N31" s="38" t="s">
        <v>205</v>
      </c>
    </row>
    <row r="32" spans="1:21">
      <c r="B32" s="9"/>
      <c r="C32" s="9"/>
      <c r="D32" s="22"/>
      <c r="E32" t="s">
        <v>167</v>
      </c>
      <c r="L32" s="29"/>
      <c r="M32" s="29"/>
      <c r="N32" t="s">
        <v>206</v>
      </c>
    </row>
    <row r="33" spans="1:14">
      <c r="A33" t="s">
        <v>8</v>
      </c>
      <c r="B33" s="9">
        <v>190</v>
      </c>
      <c r="C33" s="9" t="s">
        <v>437</v>
      </c>
      <c r="D33" s="22"/>
      <c r="E33" t="s">
        <v>608</v>
      </c>
      <c r="L33" s="29"/>
      <c r="M33" s="29"/>
      <c r="N33" s="38" t="s">
        <v>522</v>
      </c>
    </row>
    <row r="34" spans="1:14">
      <c r="A34" s="3" t="s">
        <v>57</v>
      </c>
      <c r="B34" s="21">
        <f>SUM(B31:B33)</f>
        <v>5397.9</v>
      </c>
      <c r="C34" s="21"/>
      <c r="D34" s="22"/>
      <c r="L34" s="111">
        <f>B34/B41</f>
        <v>0.18848625846358372</v>
      </c>
      <c r="M34" s="111" t="s">
        <v>237</v>
      </c>
    </row>
    <row r="35" spans="1:14">
      <c r="A35" s="3"/>
      <c r="B35" s="21"/>
      <c r="C35" s="21"/>
      <c r="D35" s="22"/>
      <c r="L35" s="29"/>
      <c r="M35" s="29"/>
    </row>
    <row r="36" spans="1:14">
      <c r="A36" t="s">
        <v>64</v>
      </c>
      <c r="B36" s="9"/>
      <c r="C36" s="9"/>
      <c r="D36" s="22"/>
      <c r="L36" s="29"/>
      <c r="M36" s="29"/>
    </row>
    <row r="37" spans="1:14">
      <c r="A37" t="s">
        <v>9</v>
      </c>
      <c r="B37" s="9">
        <v>1139</v>
      </c>
      <c r="C37" s="9"/>
      <c r="D37" s="22">
        <v>2010</v>
      </c>
      <c r="E37" t="s">
        <v>524</v>
      </c>
      <c r="L37" s="29"/>
      <c r="M37" s="29"/>
      <c r="N37" t="s">
        <v>75</v>
      </c>
    </row>
    <row r="38" spans="1:14">
      <c r="A38" t="s">
        <v>10</v>
      </c>
      <c r="B38" s="9">
        <v>4535</v>
      </c>
      <c r="C38" s="9"/>
      <c r="D38" s="22"/>
      <c r="E38" t="s">
        <v>524</v>
      </c>
      <c r="L38" s="29"/>
      <c r="M38" s="29"/>
      <c r="N38" t="s">
        <v>523</v>
      </c>
    </row>
    <row r="39" spans="1:14">
      <c r="A39" s="3" t="s">
        <v>24</v>
      </c>
      <c r="B39" s="21">
        <f>SUM(B37:B38)</f>
        <v>5674</v>
      </c>
      <c r="C39" s="21"/>
      <c r="D39" s="22"/>
      <c r="L39" s="111">
        <f>B39/B41</f>
        <v>0.19812724031982326</v>
      </c>
      <c r="M39" s="111" t="s">
        <v>237</v>
      </c>
    </row>
    <row r="40" spans="1:14">
      <c r="B40" s="9"/>
      <c r="C40" s="9"/>
      <c r="D40" s="22"/>
    </row>
    <row r="41" spans="1:14" ht="15.75">
      <c r="A41" s="4" t="s">
        <v>23</v>
      </c>
      <c r="B41" s="139">
        <f>SUM(B13+B19+B23+B28+B34+B39)</f>
        <v>28638.161975308642</v>
      </c>
      <c r="C41" s="143" t="s">
        <v>237</v>
      </c>
      <c r="D41" s="293" t="s">
        <v>900</v>
      </c>
    </row>
    <row r="42" spans="1:14" ht="15.75">
      <c r="A42" s="4"/>
      <c r="B42" s="4"/>
      <c r="C42" s="4"/>
    </row>
    <row r="43" spans="1:14" ht="15.75">
      <c r="A43" s="204" t="s">
        <v>652</v>
      </c>
      <c r="B43" s="4"/>
      <c r="C43" s="4"/>
    </row>
    <row r="44" spans="1:14" ht="15.75">
      <c r="A44" s="4"/>
    </row>
    <row r="45" spans="1:14">
      <c r="A45" s="52"/>
      <c r="B45" s="1"/>
      <c r="C45" s="1"/>
    </row>
    <row r="46" spans="1:14">
      <c r="A46" t="s">
        <v>540</v>
      </c>
      <c r="B46" s="9"/>
      <c r="C46" s="9"/>
      <c r="D46" s="22"/>
    </row>
    <row r="47" spans="1:14">
      <c r="A47" s="153" t="s">
        <v>651</v>
      </c>
      <c r="B47" s="154"/>
      <c r="C47" s="154"/>
      <c r="D47" s="192"/>
    </row>
    <row r="48" spans="1:14">
      <c r="A48" t="s">
        <v>777</v>
      </c>
      <c r="B48" s="9"/>
      <c r="C48" s="9"/>
      <c r="D48" s="22"/>
    </row>
    <row r="49" spans="1:13">
      <c r="A49" s="149" t="s">
        <v>813</v>
      </c>
      <c r="B49" s="136"/>
      <c r="C49" s="136"/>
      <c r="D49" s="22"/>
    </row>
    <row r="50" spans="1:13">
      <c r="A50" s="52" t="s">
        <v>906</v>
      </c>
      <c r="B50" s="9"/>
      <c r="C50" s="9"/>
      <c r="D50" s="22"/>
    </row>
    <row r="51" spans="1:13">
      <c r="B51" s="9"/>
      <c r="C51" s="9"/>
      <c r="D51" s="22"/>
    </row>
    <row r="52" spans="1:13">
      <c r="B52" s="9"/>
      <c r="C52" s="9"/>
      <c r="D52" s="22"/>
      <c r="L52" s="7"/>
      <c r="M52" s="7"/>
    </row>
    <row r="53" spans="1:13">
      <c r="A53" s="3"/>
      <c r="B53" s="21"/>
      <c r="C53" s="21"/>
      <c r="D53" s="22"/>
      <c r="L53" s="7"/>
      <c r="M53" s="7"/>
    </row>
    <row r="54" spans="1:13">
      <c r="B54" s="9"/>
      <c r="C54" s="9"/>
      <c r="D54" s="22"/>
      <c r="L54" s="7"/>
      <c r="M54" s="7"/>
    </row>
    <row r="55" spans="1:13">
      <c r="A55" s="2"/>
      <c r="B55" s="9"/>
      <c r="C55" s="9"/>
      <c r="D55" s="22"/>
      <c r="L55" s="7"/>
      <c r="M55" s="7"/>
    </row>
    <row r="56" spans="1:13">
      <c r="B56" s="9"/>
      <c r="C56" s="9"/>
      <c r="D56" s="22"/>
      <c r="L56" s="7"/>
      <c r="M56" s="7"/>
    </row>
    <row r="57" spans="1:13">
      <c r="B57" s="9"/>
      <c r="C57" s="9"/>
      <c r="D57" s="22"/>
      <c r="L57" s="7"/>
      <c r="M57" s="7"/>
    </row>
    <row r="58" spans="1:13">
      <c r="B58" s="9"/>
      <c r="C58" s="9"/>
      <c r="D58" s="22"/>
      <c r="L58" s="7"/>
      <c r="M58" s="7"/>
    </row>
    <row r="59" spans="1:13">
      <c r="A59" s="3"/>
      <c r="B59" s="21"/>
      <c r="C59" s="21"/>
      <c r="D59" s="22"/>
      <c r="L59" s="7"/>
      <c r="M59" s="7"/>
    </row>
    <row r="60" spans="1:13">
      <c r="B60" s="9"/>
      <c r="C60" s="9"/>
      <c r="D60" s="22"/>
      <c r="L60" s="7"/>
      <c r="M60" s="7"/>
    </row>
    <row r="61" spans="1:13">
      <c r="A61" s="2"/>
      <c r="B61" s="9"/>
      <c r="C61" s="9"/>
      <c r="D61" s="22"/>
      <c r="L61" s="7"/>
      <c r="M61" s="7"/>
    </row>
    <row r="62" spans="1:13">
      <c r="B62" s="9"/>
      <c r="C62" s="9"/>
      <c r="D62" s="22"/>
      <c r="L62" s="7"/>
      <c r="M62" s="7"/>
    </row>
    <row r="63" spans="1:13">
      <c r="A63" s="3"/>
      <c r="B63" s="21"/>
      <c r="C63" s="21"/>
      <c r="D63" s="22"/>
      <c r="L63" s="7"/>
      <c r="M63" s="7"/>
    </row>
    <row r="64" spans="1:13">
      <c r="B64" s="9"/>
      <c r="C64" s="9"/>
      <c r="D64" s="22"/>
      <c r="L64" s="7"/>
      <c r="M64" s="7"/>
    </row>
    <row r="65" spans="1:13">
      <c r="A65" s="2"/>
      <c r="B65" s="9"/>
      <c r="C65" s="9"/>
      <c r="D65" s="22"/>
      <c r="J65" s="9"/>
      <c r="L65" s="7"/>
      <c r="M65" s="7"/>
    </row>
    <row r="66" spans="1:13">
      <c r="B66" s="9"/>
      <c r="C66" s="9"/>
      <c r="D66" s="22"/>
      <c r="L66" s="7"/>
      <c r="M66" s="7"/>
    </row>
    <row r="67" spans="1:13">
      <c r="B67" s="9"/>
      <c r="C67" s="9"/>
      <c r="D67" s="22"/>
      <c r="L67" s="7"/>
      <c r="M67" s="7"/>
    </row>
    <row r="68" spans="1:13">
      <c r="A68" s="3"/>
      <c r="B68" s="21"/>
      <c r="C68" s="21"/>
      <c r="D68" s="22"/>
      <c r="L68" s="7"/>
      <c r="M68" s="7"/>
    </row>
    <row r="69" spans="1:13">
      <c r="B69" s="9"/>
      <c r="C69" s="9"/>
      <c r="D69" s="22"/>
      <c r="L69" s="7"/>
      <c r="M69" s="7"/>
    </row>
    <row r="70" spans="1:13">
      <c r="A70" s="2"/>
      <c r="B70" s="9"/>
      <c r="C70" s="9"/>
      <c r="D70" s="22"/>
      <c r="L70" s="7"/>
      <c r="M70" s="7"/>
    </row>
    <row r="71" spans="1:13">
      <c r="B71" s="9"/>
      <c r="C71" s="9"/>
      <c r="D71" s="22"/>
      <c r="L71" s="7"/>
      <c r="M71" s="7"/>
    </row>
    <row r="72" spans="1:13">
      <c r="B72" s="9"/>
      <c r="C72" s="9"/>
      <c r="D72" s="22"/>
      <c r="L72" s="7"/>
      <c r="M72" s="7"/>
    </row>
    <row r="73" spans="1:13">
      <c r="A73" s="3"/>
      <c r="B73" s="21"/>
      <c r="C73" s="21"/>
      <c r="D73" s="22"/>
      <c r="L73" s="7"/>
      <c r="M73" s="7"/>
    </row>
    <row r="74" spans="1:13">
      <c r="B74" s="9"/>
      <c r="C74" s="9"/>
      <c r="D74" s="22"/>
      <c r="L74" s="7"/>
      <c r="M74" s="7"/>
    </row>
    <row r="75" spans="1:13">
      <c r="B75" s="9"/>
      <c r="C75" s="9"/>
      <c r="D75" s="22"/>
      <c r="L75" s="7"/>
      <c r="M75" s="7"/>
    </row>
    <row r="76" spans="1:13">
      <c r="B76" s="9"/>
      <c r="C76" s="9"/>
      <c r="D76" s="22"/>
      <c r="L76" s="7"/>
      <c r="M76" s="7"/>
    </row>
    <row r="77" spans="1:13">
      <c r="A77" s="3"/>
      <c r="B77" s="21"/>
      <c r="C77" s="21"/>
      <c r="D77" s="22"/>
      <c r="L77" s="7"/>
      <c r="M77" s="7"/>
    </row>
    <row r="78" spans="1:13">
      <c r="B78" s="9"/>
      <c r="C78" s="9"/>
      <c r="D78" s="22"/>
    </row>
    <row r="79" spans="1:13" ht="15.75">
      <c r="A79" s="4"/>
      <c r="B79" s="17"/>
      <c r="C79" s="17"/>
    </row>
    <row r="80" spans="1:13" ht="15.75">
      <c r="A80" s="4"/>
      <c r="B80" s="4"/>
      <c r="C80" s="4"/>
    </row>
    <row r="81" spans="1:5" ht="15.75">
      <c r="A81" s="4"/>
      <c r="B81" s="4"/>
      <c r="C81" s="4"/>
    </row>
    <row r="92" spans="1:5">
      <c r="B92" s="6"/>
      <c r="C92" s="6"/>
      <c r="E92" s="7"/>
    </row>
    <row r="93" spans="1:5">
      <c r="B93" s="6"/>
      <c r="C93" s="6"/>
      <c r="E93" s="7"/>
    </row>
    <row r="94" spans="1:5">
      <c r="B94" s="6"/>
      <c r="C94" s="6"/>
      <c r="E94" s="7"/>
    </row>
    <row r="95" spans="1:5">
      <c r="B95" s="5"/>
      <c r="C95" s="5"/>
      <c r="E95" s="7"/>
    </row>
    <row r="98" spans="2:3">
      <c r="B98" s="8"/>
      <c r="C98" s="8"/>
    </row>
  </sheetData>
  <hyperlinks>
    <hyperlink ref="N31" r:id="rId1"/>
    <hyperlink ref="N18" r:id="rId2"/>
    <hyperlink ref="N12" r:id="rId3"/>
    <hyperlink ref="N6" r:id="rId4"/>
  </hyperlinks>
  <pageMargins left="0.70866141732283472" right="0.70866141732283472" top="0.74803149606299213" bottom="0.74803149606299213" header="0.31496062992125984" footer="0.31496062992125984"/>
  <pageSetup scale="57" orientation="landscape" verticalDpi="0" r:id="rId5"/>
</worksheet>
</file>

<file path=xl/worksheets/sheet7.xml><?xml version="1.0" encoding="utf-8"?>
<worksheet xmlns="http://schemas.openxmlformats.org/spreadsheetml/2006/main" xmlns:r="http://schemas.openxmlformats.org/officeDocument/2006/relationships">
  <dimension ref="A1:U101"/>
  <sheetViews>
    <sheetView workbookViewId="0">
      <selection activeCell="E33" sqref="E33"/>
    </sheetView>
  </sheetViews>
  <sheetFormatPr defaultRowHeight="12.75"/>
  <cols>
    <col min="1" max="1" width="35.42578125" customWidth="1"/>
    <col min="2" max="2" width="10.7109375" bestFit="1" customWidth="1"/>
    <col min="3" max="3" width="2.7109375" customWidth="1"/>
    <col min="4" max="4" width="16.7109375" customWidth="1"/>
    <col min="13" max="13" width="2.7109375" customWidth="1"/>
  </cols>
  <sheetData>
    <row r="1" spans="1:14">
      <c r="B1" s="1" t="s">
        <v>171</v>
      </c>
      <c r="C1" s="1"/>
    </row>
    <row r="2" spans="1:14">
      <c r="B2" s="1" t="s">
        <v>181</v>
      </c>
      <c r="C2" s="1"/>
    </row>
    <row r="3" spans="1:14">
      <c r="B3" s="1" t="s">
        <v>16</v>
      </c>
      <c r="C3" s="1"/>
      <c r="E3" s="2" t="s">
        <v>59</v>
      </c>
      <c r="N3" s="2" t="s">
        <v>92</v>
      </c>
    </row>
    <row r="4" spans="1:14">
      <c r="A4" s="2" t="s">
        <v>11</v>
      </c>
    </row>
    <row r="6" spans="1:14">
      <c r="A6" t="s">
        <v>0</v>
      </c>
      <c r="B6" s="135">
        <v>620</v>
      </c>
      <c r="C6" s="135" t="s">
        <v>237</v>
      </c>
      <c r="D6" s="22" t="s">
        <v>212</v>
      </c>
      <c r="E6" s="52" t="s">
        <v>811</v>
      </c>
      <c r="N6" s="38" t="s">
        <v>810</v>
      </c>
    </row>
    <row r="7" spans="1:14">
      <c r="A7" t="s">
        <v>1</v>
      </c>
      <c r="B7" s="135">
        <v>1000</v>
      </c>
      <c r="C7" s="135" t="s">
        <v>237</v>
      </c>
      <c r="D7" s="22" t="s">
        <v>212</v>
      </c>
      <c r="E7" s="52" t="s">
        <v>811</v>
      </c>
      <c r="I7" t="s">
        <v>93</v>
      </c>
    </row>
    <row r="8" spans="1:14">
      <c r="A8" t="s">
        <v>14</v>
      </c>
      <c r="B8" s="135">
        <v>97</v>
      </c>
      <c r="C8" s="135" t="s">
        <v>237</v>
      </c>
      <c r="D8" s="22" t="s">
        <v>212</v>
      </c>
      <c r="E8" s="52" t="s">
        <v>811</v>
      </c>
    </row>
    <row r="9" spans="1:14">
      <c r="A9" t="s">
        <v>2</v>
      </c>
      <c r="B9" s="9">
        <v>5</v>
      </c>
      <c r="C9" s="9"/>
      <c r="D9" s="22" t="s">
        <v>212</v>
      </c>
      <c r="E9" s="52" t="s">
        <v>811</v>
      </c>
    </row>
    <row r="10" spans="1:14">
      <c r="A10" s="52" t="s">
        <v>273</v>
      </c>
      <c r="B10" s="9"/>
      <c r="D10" s="22" t="s">
        <v>212</v>
      </c>
      <c r="E10" s="52" t="s">
        <v>811</v>
      </c>
    </row>
    <row r="11" spans="1:14">
      <c r="A11" t="s">
        <v>3</v>
      </c>
      <c r="B11" s="135">
        <v>130</v>
      </c>
      <c r="C11" s="135" t="s">
        <v>237</v>
      </c>
      <c r="D11" s="22" t="s">
        <v>212</v>
      </c>
      <c r="E11" s="52" t="s">
        <v>811</v>
      </c>
    </row>
    <row r="12" spans="1:14">
      <c r="A12" t="s">
        <v>15</v>
      </c>
      <c r="B12" s="9">
        <v>196.5</v>
      </c>
      <c r="C12" s="9"/>
      <c r="D12" s="22" t="s">
        <v>212</v>
      </c>
      <c r="E12" s="116" t="s">
        <v>355</v>
      </c>
      <c r="L12" s="7"/>
      <c r="M12" s="7"/>
      <c r="N12" s="38" t="s">
        <v>202</v>
      </c>
    </row>
    <row r="13" spans="1:14">
      <c r="A13" s="3" t="s">
        <v>24</v>
      </c>
      <c r="B13" s="138">
        <f>SUM(B6:B12)</f>
        <v>2048.5</v>
      </c>
      <c r="C13" s="138" t="s">
        <v>237</v>
      </c>
      <c r="D13" s="22"/>
      <c r="E13" s="6" t="s">
        <v>173</v>
      </c>
      <c r="L13" s="111">
        <f>B13/B41</f>
        <v>7.3818509707530414E-2</v>
      </c>
      <c r="M13" s="111" t="s">
        <v>237</v>
      </c>
    </row>
    <row r="14" spans="1:14">
      <c r="B14" s="9"/>
      <c r="C14" s="9"/>
      <c r="D14" s="22"/>
      <c r="L14" s="29"/>
      <c r="M14" s="29"/>
    </row>
    <row r="15" spans="1:14">
      <c r="A15" s="2" t="s">
        <v>4</v>
      </c>
      <c r="B15" s="9"/>
      <c r="C15" s="9"/>
      <c r="D15" s="22"/>
      <c r="L15" s="29"/>
      <c r="M15" s="29"/>
    </row>
    <row r="16" spans="1:14">
      <c r="A16" t="s">
        <v>5</v>
      </c>
      <c r="B16" s="9">
        <v>3513</v>
      </c>
      <c r="C16" s="9"/>
      <c r="D16" s="22"/>
      <c r="E16" t="s">
        <v>204</v>
      </c>
      <c r="L16" s="29"/>
      <c r="M16" s="29"/>
      <c r="N16" s="38" t="s">
        <v>108</v>
      </c>
    </row>
    <row r="17" spans="1:21">
      <c r="A17" t="s">
        <v>69</v>
      </c>
      <c r="B17" s="9">
        <v>749.4</v>
      </c>
      <c r="C17" s="9"/>
      <c r="D17" s="22"/>
      <c r="E17" t="s">
        <v>371</v>
      </c>
      <c r="L17" s="29"/>
      <c r="M17" s="29"/>
      <c r="N17" s="51" t="s">
        <v>201</v>
      </c>
    </row>
    <row r="18" spans="1:21">
      <c r="A18" t="s">
        <v>6</v>
      </c>
      <c r="B18" s="135">
        <v>1075.2</v>
      </c>
      <c r="C18" s="9"/>
      <c r="D18" s="22"/>
      <c r="E18" s="136" t="s">
        <v>394</v>
      </c>
      <c r="F18" s="136"/>
      <c r="G18" s="136"/>
      <c r="H18" s="136"/>
      <c r="I18" s="136"/>
      <c r="J18" s="136"/>
      <c r="K18" s="136"/>
      <c r="L18" s="137"/>
      <c r="M18" s="137"/>
      <c r="N18" s="101" t="s">
        <v>395</v>
      </c>
      <c r="O18" s="136"/>
      <c r="P18" s="136"/>
      <c r="Q18" s="136"/>
      <c r="R18" s="136"/>
      <c r="S18" s="136"/>
      <c r="T18" s="136"/>
      <c r="U18" s="136"/>
    </row>
    <row r="19" spans="1:21">
      <c r="A19" s="3" t="s">
        <v>24</v>
      </c>
      <c r="B19" s="138">
        <f>SUM(B16:B18)</f>
        <v>5337.5999999999995</v>
      </c>
      <c r="C19" s="21"/>
      <c r="D19" s="22"/>
      <c r="L19" s="111">
        <f>B19/B41</f>
        <v>0.19234253229920151</v>
      </c>
      <c r="M19" s="111" t="s">
        <v>237</v>
      </c>
    </row>
    <row r="20" spans="1:21">
      <c r="B20" s="9"/>
      <c r="C20" s="9"/>
      <c r="D20" s="22"/>
      <c r="L20" s="29"/>
      <c r="M20" s="29"/>
    </row>
    <row r="21" spans="1:21">
      <c r="A21" s="2" t="s">
        <v>99</v>
      </c>
      <c r="B21" s="9"/>
      <c r="C21" s="9"/>
      <c r="D21" s="22"/>
      <c r="L21" s="29"/>
      <c r="M21" s="29"/>
    </row>
    <row r="22" spans="1:21">
      <c r="A22" t="s">
        <v>100</v>
      </c>
      <c r="B22" s="45">
        <v>2030.2</v>
      </c>
      <c r="C22" s="45"/>
      <c r="D22" s="22"/>
      <c r="E22" t="s">
        <v>203</v>
      </c>
      <c r="L22" s="29"/>
      <c r="M22" s="29"/>
      <c r="N22" s="38" t="s">
        <v>202</v>
      </c>
    </row>
    <row r="23" spans="1:21">
      <c r="A23" s="3" t="s">
        <v>24</v>
      </c>
      <c r="B23" s="21">
        <f>SUM(B22:B22)</f>
        <v>2030.2</v>
      </c>
      <c r="C23" s="21"/>
      <c r="D23" s="22"/>
      <c r="E23" t="s">
        <v>295</v>
      </c>
      <c r="L23" s="111">
        <f>B23/B41</f>
        <v>7.3159061951783386E-2</v>
      </c>
      <c r="M23" s="111" t="s">
        <v>237</v>
      </c>
    </row>
    <row r="24" spans="1:21">
      <c r="B24" s="9"/>
      <c r="C24" s="9"/>
      <c r="D24" s="22"/>
      <c r="L24" s="29"/>
      <c r="M24" s="29"/>
    </row>
    <row r="25" spans="1:21">
      <c r="A25" s="2" t="s">
        <v>18</v>
      </c>
      <c r="B25" s="9"/>
      <c r="C25" s="9"/>
      <c r="D25" s="22"/>
      <c r="J25" s="9"/>
      <c r="L25" s="29"/>
      <c r="M25" s="29"/>
    </row>
    <row r="26" spans="1:21">
      <c r="A26" t="s">
        <v>17</v>
      </c>
      <c r="B26" s="154">
        <f>'SA $ by prov 09-10'!B59</f>
        <v>6930.3425000000007</v>
      </c>
      <c r="C26" s="154" t="s">
        <v>237</v>
      </c>
      <c r="D26" s="193" t="s">
        <v>653</v>
      </c>
      <c r="E26" t="s">
        <v>164</v>
      </c>
      <c r="L26" s="29"/>
      <c r="M26" s="29"/>
      <c r="N26" t="s">
        <v>303</v>
      </c>
    </row>
    <row r="27" spans="1:21">
      <c r="A27" t="s">
        <v>12</v>
      </c>
      <c r="B27" s="102">
        <f>'SA $ by prov 09-10'!B60</f>
        <v>441.65000000000003</v>
      </c>
      <c r="C27" s="102" t="s">
        <v>237</v>
      </c>
      <c r="D27" s="193" t="s">
        <v>653</v>
      </c>
      <c r="E27" t="s">
        <v>339</v>
      </c>
      <c r="L27" s="29"/>
      <c r="M27" s="29"/>
      <c r="N27" t="s">
        <v>303</v>
      </c>
    </row>
    <row r="28" spans="1:21">
      <c r="A28" s="3" t="s">
        <v>24</v>
      </c>
      <c r="B28" s="183">
        <f>SUM(B26:B27)</f>
        <v>7371.9925000000003</v>
      </c>
      <c r="C28" s="183" t="s">
        <v>237</v>
      </c>
      <c r="D28" s="193" t="s">
        <v>653</v>
      </c>
      <c r="L28" s="111">
        <f>B28/B41</f>
        <v>0.2656526726507647</v>
      </c>
      <c r="M28" s="111" t="s">
        <v>237</v>
      </c>
    </row>
    <row r="29" spans="1:21">
      <c r="B29" s="9"/>
      <c r="C29" s="9"/>
      <c r="D29" s="22"/>
      <c r="L29" s="29"/>
      <c r="M29" s="29"/>
    </row>
    <row r="30" spans="1:21">
      <c r="A30" s="2" t="s">
        <v>13</v>
      </c>
      <c r="B30" s="9"/>
      <c r="C30" s="9"/>
      <c r="D30" s="22"/>
      <c r="L30" s="29"/>
      <c r="M30" s="29"/>
    </row>
    <row r="31" spans="1:21">
      <c r="A31" t="s">
        <v>7</v>
      </c>
      <c r="B31" s="9">
        <v>5281.7</v>
      </c>
      <c r="C31" s="9"/>
      <c r="D31" s="22">
        <v>2009</v>
      </c>
      <c r="E31" t="s">
        <v>215</v>
      </c>
      <c r="L31" s="29"/>
      <c r="M31" s="29"/>
      <c r="N31" s="38" t="s">
        <v>205</v>
      </c>
    </row>
    <row r="32" spans="1:21">
      <c r="B32" s="9"/>
      <c r="C32" s="9"/>
      <c r="D32" s="22"/>
      <c r="E32" t="s">
        <v>167</v>
      </c>
      <c r="L32" s="29"/>
      <c r="M32" s="29"/>
      <c r="N32" t="s">
        <v>206</v>
      </c>
    </row>
    <row r="33" spans="1:14">
      <c r="A33" t="s">
        <v>8</v>
      </c>
      <c r="B33" s="9">
        <v>188.5</v>
      </c>
      <c r="C33" s="9"/>
      <c r="D33" s="22"/>
      <c r="E33" t="s">
        <v>203</v>
      </c>
      <c r="L33" s="29"/>
      <c r="M33" s="29"/>
      <c r="N33" s="38" t="s">
        <v>202</v>
      </c>
    </row>
    <row r="34" spans="1:14">
      <c r="A34" s="3" t="s">
        <v>57</v>
      </c>
      <c r="B34" s="21">
        <f>SUM(B31:B33)</f>
        <v>5470.2</v>
      </c>
      <c r="C34" s="21"/>
      <c r="D34" s="22"/>
      <c r="L34" s="111">
        <f>B34/B41</f>
        <v>0.19712082587363089</v>
      </c>
      <c r="M34" s="111" t="s">
        <v>237</v>
      </c>
    </row>
    <row r="35" spans="1:14">
      <c r="A35" s="3"/>
      <c r="B35" s="21"/>
      <c r="C35" s="21"/>
      <c r="D35" s="22"/>
      <c r="L35" s="29"/>
      <c r="M35" s="29"/>
    </row>
    <row r="36" spans="1:14">
      <c r="A36" t="s">
        <v>64</v>
      </c>
      <c r="B36" s="9"/>
      <c r="C36" s="9"/>
      <c r="D36" s="22"/>
      <c r="L36" s="29"/>
      <c r="M36" s="29"/>
    </row>
    <row r="37" spans="1:14">
      <c r="A37" t="s">
        <v>9</v>
      </c>
      <c r="B37" s="9">
        <v>1124</v>
      </c>
      <c r="C37" s="9" t="s">
        <v>237</v>
      </c>
      <c r="D37" s="22">
        <v>2009</v>
      </c>
      <c r="E37" t="s">
        <v>207</v>
      </c>
      <c r="L37" s="29"/>
      <c r="M37" s="29"/>
      <c r="N37" t="s">
        <v>75</v>
      </c>
    </row>
    <row r="38" spans="1:14">
      <c r="A38" t="s">
        <v>10</v>
      </c>
      <c r="B38" s="9">
        <v>4368</v>
      </c>
      <c r="C38" s="9" t="s">
        <v>237</v>
      </c>
      <c r="D38" s="22"/>
      <c r="E38" t="s">
        <v>207</v>
      </c>
      <c r="L38" s="29"/>
      <c r="M38" s="29"/>
      <c r="N38" t="s">
        <v>378</v>
      </c>
    </row>
    <row r="39" spans="1:14">
      <c r="A39" s="3" t="s">
        <v>24</v>
      </c>
      <c r="B39" s="21">
        <f>SUM(B37:B38)</f>
        <v>5492</v>
      </c>
      <c r="C39" s="21" t="s">
        <v>237</v>
      </c>
      <c r="D39" s="22"/>
      <c r="L39" s="111">
        <f>B39/B41</f>
        <v>0.19790639751708911</v>
      </c>
      <c r="M39" s="111" t="s">
        <v>237</v>
      </c>
    </row>
    <row r="40" spans="1:14">
      <c r="B40" s="9"/>
      <c r="C40" s="9"/>
      <c r="D40" s="22"/>
    </row>
    <row r="41" spans="1:14" ht="15.75">
      <c r="A41" s="4" t="s">
        <v>23</v>
      </c>
      <c r="B41" s="176">
        <f>SUM(B13+B19+B23+B28+B34+B39)</f>
        <v>27750.4925</v>
      </c>
      <c r="C41" s="176" t="s">
        <v>237</v>
      </c>
      <c r="D41" s="193" t="s">
        <v>653</v>
      </c>
    </row>
    <row r="42" spans="1:14" ht="15.75">
      <c r="A42" s="4"/>
      <c r="B42" s="4"/>
      <c r="C42" s="4"/>
    </row>
    <row r="43" spans="1:14" ht="15.75">
      <c r="A43" s="204" t="s">
        <v>652</v>
      </c>
      <c r="B43" s="4"/>
      <c r="C43" s="4"/>
    </row>
    <row r="44" spans="1:14" ht="15.75">
      <c r="A44" s="4"/>
    </row>
    <row r="45" spans="1:14">
      <c r="A45" s="52" t="s">
        <v>387</v>
      </c>
      <c r="B45" s="1"/>
      <c r="C45" s="1"/>
    </row>
    <row r="46" spans="1:14">
      <c r="A46" s="52" t="s">
        <v>294</v>
      </c>
      <c r="B46" s="1"/>
      <c r="C46" s="1"/>
      <c r="E46" s="2"/>
      <c r="N46" s="2"/>
    </row>
    <row r="47" spans="1:14">
      <c r="A47" s="2"/>
    </row>
    <row r="48" spans="1:14">
      <c r="A48" s="136" t="s">
        <v>396</v>
      </c>
      <c r="B48" s="136"/>
      <c r="C48" s="136"/>
      <c r="D48" s="136"/>
    </row>
    <row r="49" spans="1:13">
      <c r="A49" t="s">
        <v>516</v>
      </c>
      <c r="B49" s="9"/>
      <c r="C49" s="9"/>
      <c r="D49" s="22"/>
    </row>
    <row r="50" spans="1:13">
      <c r="B50" s="9"/>
      <c r="C50" s="9"/>
      <c r="D50" s="22"/>
    </row>
    <row r="51" spans="1:13">
      <c r="A51" s="153" t="s">
        <v>600</v>
      </c>
      <c r="B51" s="154"/>
      <c r="C51" s="154"/>
      <c r="D51" s="192"/>
      <c r="E51" s="153"/>
      <c r="F51" s="153"/>
    </row>
    <row r="52" spans="1:13">
      <c r="A52" s="153" t="s">
        <v>651</v>
      </c>
      <c r="B52" s="154"/>
      <c r="C52" s="154"/>
      <c r="D52" s="192"/>
    </row>
    <row r="53" spans="1:13">
      <c r="A53" s="149" t="s">
        <v>813</v>
      </c>
      <c r="B53" s="135"/>
      <c r="C53" s="135"/>
      <c r="D53" s="282"/>
    </row>
    <row r="54" spans="1:13">
      <c r="B54" s="9"/>
      <c r="C54" s="9"/>
      <c r="D54" s="22"/>
    </row>
    <row r="55" spans="1:13">
      <c r="B55" s="9"/>
      <c r="C55" s="9"/>
      <c r="D55" s="22"/>
      <c r="L55" s="7"/>
      <c r="M55" s="7"/>
    </row>
    <row r="56" spans="1:13">
      <c r="A56" s="3"/>
      <c r="B56" s="21"/>
      <c r="C56" s="21"/>
      <c r="D56" s="22"/>
      <c r="L56" s="7"/>
      <c r="M56" s="7"/>
    </row>
    <row r="57" spans="1:13">
      <c r="B57" s="9"/>
      <c r="C57" s="9"/>
      <c r="D57" s="22"/>
      <c r="L57" s="7"/>
      <c r="M57" s="7"/>
    </row>
    <row r="58" spans="1:13">
      <c r="A58" s="2"/>
      <c r="B58" s="9"/>
      <c r="C58" s="9"/>
      <c r="D58" s="22"/>
      <c r="L58" s="7"/>
      <c r="M58" s="7"/>
    </row>
    <row r="59" spans="1:13">
      <c r="B59" s="9"/>
      <c r="C59" s="9"/>
      <c r="D59" s="22"/>
      <c r="L59" s="7"/>
      <c r="M59" s="7"/>
    </row>
    <row r="60" spans="1:13">
      <c r="B60" s="9"/>
      <c r="C60" s="9"/>
      <c r="D60" s="22"/>
      <c r="L60" s="7"/>
      <c r="M60" s="7"/>
    </row>
    <row r="61" spans="1:13">
      <c r="B61" s="9"/>
      <c r="C61" s="9"/>
      <c r="D61" s="22"/>
      <c r="L61" s="7"/>
      <c r="M61" s="7"/>
    </row>
    <row r="62" spans="1:13">
      <c r="A62" s="3"/>
      <c r="B62" s="21"/>
      <c r="C62" s="21"/>
      <c r="D62" s="22"/>
      <c r="L62" s="7"/>
      <c r="M62" s="7"/>
    </row>
    <row r="63" spans="1:13">
      <c r="B63" s="9"/>
      <c r="C63" s="9"/>
      <c r="D63" s="22"/>
      <c r="L63" s="7"/>
      <c r="M63" s="7"/>
    </row>
    <row r="64" spans="1:13">
      <c r="A64" s="2"/>
      <c r="B64" s="9"/>
      <c r="C64" s="9"/>
      <c r="D64" s="22"/>
      <c r="L64" s="7"/>
      <c r="M64" s="7"/>
    </row>
    <row r="65" spans="1:13">
      <c r="B65" s="9"/>
      <c r="C65" s="9"/>
      <c r="D65" s="22"/>
      <c r="L65" s="7"/>
      <c r="M65" s="7"/>
    </row>
    <row r="66" spans="1:13">
      <c r="A66" s="3"/>
      <c r="B66" s="21"/>
      <c r="C66" s="21"/>
      <c r="D66" s="22"/>
      <c r="L66" s="7"/>
      <c r="M66" s="7"/>
    </row>
    <row r="67" spans="1:13">
      <c r="B67" s="9"/>
      <c r="C67" s="9"/>
      <c r="D67" s="22"/>
      <c r="L67" s="7"/>
      <c r="M67" s="7"/>
    </row>
    <row r="68" spans="1:13">
      <c r="A68" s="2"/>
      <c r="B68" s="9"/>
      <c r="C68" s="9"/>
      <c r="D68" s="22"/>
      <c r="J68" s="9"/>
      <c r="L68" s="7"/>
      <c r="M68" s="7"/>
    </row>
    <row r="69" spans="1:13">
      <c r="B69" s="9"/>
      <c r="C69" s="9"/>
      <c r="D69" s="22"/>
      <c r="L69" s="7"/>
      <c r="M69" s="7"/>
    </row>
    <row r="70" spans="1:13">
      <c r="B70" s="9"/>
      <c r="C70" s="9"/>
      <c r="D70" s="22"/>
      <c r="L70" s="7"/>
      <c r="M70" s="7"/>
    </row>
    <row r="71" spans="1:13">
      <c r="A71" s="3"/>
      <c r="B71" s="21"/>
      <c r="C71" s="21"/>
      <c r="D71" s="22"/>
      <c r="L71" s="7"/>
      <c r="M71" s="7"/>
    </row>
    <row r="72" spans="1:13">
      <c r="B72" s="9"/>
      <c r="C72" s="9"/>
      <c r="D72" s="22"/>
      <c r="L72" s="7"/>
      <c r="M72" s="7"/>
    </row>
    <row r="73" spans="1:13">
      <c r="A73" s="2"/>
      <c r="B73" s="9"/>
      <c r="C73" s="9"/>
      <c r="D73" s="22"/>
      <c r="L73" s="7"/>
      <c r="M73" s="7"/>
    </row>
    <row r="74" spans="1:13">
      <c r="B74" s="9"/>
      <c r="C74" s="9"/>
      <c r="D74" s="22"/>
      <c r="L74" s="7"/>
      <c r="M74" s="7"/>
    </row>
    <row r="75" spans="1:13">
      <c r="B75" s="9"/>
      <c r="C75" s="9"/>
      <c r="D75" s="22"/>
      <c r="L75" s="7"/>
      <c r="M75" s="7"/>
    </row>
    <row r="76" spans="1:13">
      <c r="A76" s="3"/>
      <c r="B76" s="21"/>
      <c r="C76" s="21"/>
      <c r="D76" s="22"/>
      <c r="L76" s="7"/>
      <c r="M76" s="7"/>
    </row>
    <row r="77" spans="1:13">
      <c r="B77" s="9"/>
      <c r="C77" s="9"/>
      <c r="D77" s="22"/>
      <c r="L77" s="7"/>
      <c r="M77" s="7"/>
    </row>
    <row r="78" spans="1:13">
      <c r="B78" s="9"/>
      <c r="C78" s="9"/>
      <c r="D78" s="22"/>
      <c r="L78" s="7"/>
      <c r="M78" s="7"/>
    </row>
    <row r="79" spans="1:13">
      <c r="B79" s="9"/>
      <c r="C79" s="9"/>
      <c r="D79" s="22"/>
      <c r="L79" s="7"/>
      <c r="M79" s="7"/>
    </row>
    <row r="80" spans="1:13">
      <c r="A80" s="3"/>
      <c r="B80" s="21"/>
      <c r="C80" s="21"/>
      <c r="D80" s="22"/>
      <c r="L80" s="7"/>
      <c r="M80" s="7"/>
    </row>
    <row r="81" spans="1:5">
      <c r="B81" s="9"/>
      <c r="C81" s="9"/>
      <c r="D81" s="22"/>
    </row>
    <row r="82" spans="1:5" ht="15.75">
      <c r="A82" s="4"/>
      <c r="B82" s="17"/>
      <c r="C82" s="17"/>
    </row>
    <row r="83" spans="1:5" ht="15.75">
      <c r="A83" s="4"/>
      <c r="B83" s="4"/>
      <c r="C83" s="4"/>
    </row>
    <row r="84" spans="1:5" ht="15.75">
      <c r="A84" s="4"/>
      <c r="B84" s="4"/>
      <c r="C84" s="4"/>
    </row>
    <row r="95" spans="1:5">
      <c r="B95" s="6"/>
      <c r="C95" s="6"/>
      <c r="E95" s="7"/>
    </row>
    <row r="96" spans="1:5">
      <c r="B96" s="6"/>
      <c r="C96" s="6"/>
      <c r="E96" s="7"/>
    </row>
    <row r="97" spans="2:5">
      <c r="B97" s="6"/>
      <c r="C97" s="6"/>
      <c r="E97" s="7"/>
    </row>
    <row r="98" spans="2:5">
      <c r="B98" s="5"/>
      <c r="C98" s="5"/>
      <c r="E98" s="7"/>
    </row>
    <row r="101" spans="2:5">
      <c r="B101" s="8"/>
      <c r="C101" s="8"/>
    </row>
  </sheetData>
  <hyperlinks>
    <hyperlink ref="N22" r:id="rId1"/>
    <hyperlink ref="N16" r:id="rId2"/>
    <hyperlink ref="N31" r:id="rId3"/>
    <hyperlink ref="N33" r:id="rId4"/>
    <hyperlink ref="N12" r:id="rId5"/>
    <hyperlink ref="N18" r:id="rId6"/>
  </hyperlinks>
  <pageMargins left="0.70866141732283472" right="0.70866141732283472" top="0.74803149606299213" bottom="0.74803149606299213" header="0.31496062992125984" footer="0.31496062992125984"/>
  <pageSetup scale="75" orientation="landscape" verticalDpi="0" r:id="rId7"/>
</worksheet>
</file>

<file path=xl/worksheets/sheet8.xml><?xml version="1.0" encoding="utf-8"?>
<worksheet xmlns="http://schemas.openxmlformats.org/spreadsheetml/2006/main" xmlns:r="http://schemas.openxmlformats.org/officeDocument/2006/relationships">
  <sheetPr>
    <pageSetUpPr fitToPage="1"/>
  </sheetPr>
  <dimension ref="A1:U102"/>
  <sheetViews>
    <sheetView workbookViewId="0">
      <selection activeCell="I24" sqref="I24"/>
    </sheetView>
  </sheetViews>
  <sheetFormatPr defaultRowHeight="12.75"/>
  <cols>
    <col min="1" max="1" width="35.42578125" customWidth="1"/>
    <col min="2" max="2" width="10.7109375" bestFit="1" customWidth="1"/>
    <col min="3" max="3" width="2.7109375" customWidth="1"/>
    <col min="4" max="4" width="16.7109375" customWidth="1"/>
    <col min="13" max="13" width="2.7109375" customWidth="1"/>
  </cols>
  <sheetData>
    <row r="1" spans="1:14">
      <c r="B1" s="1" t="s">
        <v>171</v>
      </c>
      <c r="C1" s="1"/>
    </row>
    <row r="2" spans="1:14">
      <c r="B2" s="1" t="s">
        <v>104</v>
      </c>
      <c r="C2" s="1"/>
    </row>
    <row r="3" spans="1:14">
      <c r="B3" s="1" t="s">
        <v>16</v>
      </c>
      <c r="C3" s="1"/>
      <c r="E3" s="2" t="s">
        <v>59</v>
      </c>
      <c r="N3" s="2" t="s">
        <v>92</v>
      </c>
    </row>
    <row r="4" spans="1:14">
      <c r="A4" s="2" t="s">
        <v>11</v>
      </c>
    </row>
    <row r="6" spans="1:14">
      <c r="A6" t="s">
        <v>0</v>
      </c>
      <c r="B6" s="9">
        <v>635</v>
      </c>
      <c r="C6" s="9" t="s">
        <v>237</v>
      </c>
      <c r="D6" s="22" t="s">
        <v>105</v>
      </c>
      <c r="E6" t="s">
        <v>345</v>
      </c>
      <c r="N6" s="38" t="s">
        <v>344</v>
      </c>
    </row>
    <row r="7" spans="1:14">
      <c r="A7" t="s">
        <v>1</v>
      </c>
      <c r="B7" s="9">
        <v>995</v>
      </c>
      <c r="C7" s="9" t="s">
        <v>237</v>
      </c>
      <c r="D7" s="22" t="s">
        <v>105</v>
      </c>
      <c r="E7" t="s">
        <v>345</v>
      </c>
      <c r="I7" t="s">
        <v>93</v>
      </c>
    </row>
    <row r="8" spans="1:14">
      <c r="A8" t="s">
        <v>14</v>
      </c>
      <c r="B8" s="9">
        <v>90</v>
      </c>
      <c r="C8" s="9" t="s">
        <v>237</v>
      </c>
      <c r="D8" s="22" t="s">
        <v>105</v>
      </c>
      <c r="E8" t="s">
        <v>345</v>
      </c>
    </row>
    <row r="9" spans="1:14">
      <c r="A9" t="s">
        <v>2</v>
      </c>
      <c r="B9" s="9">
        <v>5</v>
      </c>
      <c r="C9" s="9"/>
      <c r="D9" s="22" t="s">
        <v>105</v>
      </c>
      <c r="E9" t="s">
        <v>345</v>
      </c>
    </row>
    <row r="10" spans="1:14">
      <c r="A10" s="52" t="s">
        <v>273</v>
      </c>
      <c r="B10" s="9"/>
      <c r="C10" s="9"/>
      <c r="D10" s="22" t="s">
        <v>105</v>
      </c>
      <c r="E10" t="s">
        <v>345</v>
      </c>
    </row>
    <row r="11" spans="1:14">
      <c r="A11" t="s">
        <v>3</v>
      </c>
      <c r="B11" s="9">
        <v>120</v>
      </c>
      <c r="C11" s="9"/>
      <c r="D11" s="22" t="s">
        <v>105</v>
      </c>
      <c r="E11" t="s">
        <v>345</v>
      </c>
    </row>
    <row r="12" spans="1:14">
      <c r="A12" t="s">
        <v>15</v>
      </c>
      <c r="B12" s="9">
        <v>160.9</v>
      </c>
      <c r="C12" s="9"/>
      <c r="D12" s="22" t="s">
        <v>105</v>
      </c>
      <c r="E12" t="s">
        <v>356</v>
      </c>
      <c r="L12" s="7"/>
      <c r="M12" s="7"/>
      <c r="N12" s="38" t="s">
        <v>343</v>
      </c>
    </row>
    <row r="13" spans="1:14">
      <c r="A13" s="3" t="s">
        <v>24</v>
      </c>
      <c r="B13" s="21">
        <f>SUM(B6:B12)</f>
        <v>2005.9</v>
      </c>
      <c r="C13" s="21" t="s">
        <v>237</v>
      </c>
      <c r="D13" s="22"/>
      <c r="E13" s="6" t="s">
        <v>173</v>
      </c>
      <c r="L13" s="7">
        <f>B13/B41</f>
        <v>7.5930307379295764E-2</v>
      </c>
      <c r="M13" s="7"/>
    </row>
    <row r="14" spans="1:14">
      <c r="B14" s="9"/>
      <c r="C14" s="9"/>
      <c r="D14" s="22"/>
      <c r="L14" s="7"/>
      <c r="M14" s="7"/>
    </row>
    <row r="15" spans="1:14">
      <c r="A15" s="2" t="s">
        <v>4</v>
      </c>
      <c r="B15" s="9"/>
      <c r="C15" s="9"/>
      <c r="D15" s="22"/>
      <c r="L15" s="7"/>
      <c r="M15" s="7"/>
    </row>
    <row r="16" spans="1:14">
      <c r="A16" t="s">
        <v>5</v>
      </c>
      <c r="B16" s="9">
        <v>3326</v>
      </c>
      <c r="C16" s="9"/>
      <c r="D16" s="22"/>
      <c r="E16" t="s">
        <v>107</v>
      </c>
      <c r="L16" s="7"/>
      <c r="M16" s="7"/>
      <c r="N16" t="s">
        <v>108</v>
      </c>
    </row>
    <row r="17" spans="1:21">
      <c r="A17" t="s">
        <v>69</v>
      </c>
      <c r="B17" s="9">
        <v>722</v>
      </c>
      <c r="C17" s="9"/>
      <c r="D17" s="22"/>
      <c r="E17" t="s">
        <v>156</v>
      </c>
      <c r="L17" s="7"/>
      <c r="M17" s="7"/>
      <c r="N17" t="s">
        <v>71</v>
      </c>
    </row>
    <row r="18" spans="1:21">
      <c r="A18" t="s">
        <v>6</v>
      </c>
      <c r="B18" s="135">
        <v>1008.8</v>
      </c>
      <c r="C18" s="102" t="s">
        <v>237</v>
      </c>
      <c r="D18" s="109"/>
      <c r="E18" s="136" t="s">
        <v>394</v>
      </c>
      <c r="F18" s="136"/>
      <c r="G18" s="136"/>
      <c r="H18" s="136"/>
      <c r="I18" s="136"/>
      <c r="J18" s="136"/>
      <c r="K18" s="136"/>
      <c r="L18" s="137"/>
      <c r="M18" s="137"/>
      <c r="N18" s="101" t="s">
        <v>395</v>
      </c>
      <c r="O18" s="136"/>
      <c r="P18" s="136"/>
      <c r="Q18" s="136"/>
      <c r="R18" s="136"/>
      <c r="S18" s="136"/>
      <c r="T18" s="136"/>
      <c r="U18" s="136"/>
    </row>
    <row r="19" spans="1:21">
      <c r="A19" s="3" t="s">
        <v>24</v>
      </c>
      <c r="B19" s="138">
        <f>SUM(B16:B18)</f>
        <v>5056.8</v>
      </c>
      <c r="C19" s="21" t="s">
        <v>237</v>
      </c>
      <c r="D19" s="22"/>
      <c r="L19" s="7">
        <f>B19/B41</f>
        <v>0.19141750753059614</v>
      </c>
      <c r="M19" s="7"/>
    </row>
    <row r="20" spans="1:21">
      <c r="B20" s="9"/>
      <c r="C20" s="9"/>
      <c r="D20" s="22"/>
      <c r="L20" s="7"/>
      <c r="M20" s="7"/>
    </row>
    <row r="21" spans="1:21">
      <c r="A21" s="2" t="s">
        <v>99</v>
      </c>
      <c r="B21" s="9"/>
      <c r="C21" s="9"/>
      <c r="D21" s="22"/>
      <c r="L21" s="7"/>
      <c r="M21" s="7"/>
    </row>
    <row r="22" spans="1:21">
      <c r="A22" t="s">
        <v>100</v>
      </c>
      <c r="B22" s="102">
        <v>1973.9</v>
      </c>
      <c r="C22" s="102"/>
      <c r="D22" s="22"/>
      <c r="E22" t="s">
        <v>168</v>
      </c>
      <c r="L22" s="7"/>
      <c r="M22" s="7"/>
      <c r="N22" t="s">
        <v>106</v>
      </c>
    </row>
    <row r="23" spans="1:21">
      <c r="A23" s="3" t="s">
        <v>24</v>
      </c>
      <c r="B23" s="21">
        <f>SUM(B22:B22)</f>
        <v>1973.9</v>
      </c>
      <c r="C23" s="21"/>
      <c r="D23" s="22"/>
      <c r="L23" s="7">
        <f>B23/B41</f>
        <v>7.4718995830296578E-2</v>
      </c>
      <c r="M23" s="7"/>
      <c r="N23" t="s">
        <v>103</v>
      </c>
    </row>
    <row r="24" spans="1:21">
      <c r="B24" s="9"/>
      <c r="C24" s="9"/>
      <c r="D24" s="22"/>
      <c r="L24" s="7"/>
      <c r="M24" s="7"/>
    </row>
    <row r="25" spans="1:21">
      <c r="A25" s="2" t="s">
        <v>18</v>
      </c>
      <c r="B25" s="9"/>
      <c r="C25" s="9"/>
      <c r="D25" s="22"/>
      <c r="J25" s="9"/>
      <c r="L25" s="7"/>
      <c r="M25" s="7"/>
    </row>
    <row r="26" spans="1:21">
      <c r="A26" t="s">
        <v>17</v>
      </c>
      <c r="B26" s="154">
        <f>'SA by prov 08-09'!B56</f>
        <v>6262.9412500000017</v>
      </c>
      <c r="C26" s="154" t="s">
        <v>237</v>
      </c>
      <c r="D26" s="193" t="s">
        <v>653</v>
      </c>
      <c r="E26" t="s">
        <v>164</v>
      </c>
      <c r="L26" s="7"/>
      <c r="M26" s="7"/>
      <c r="N26" t="s">
        <v>302</v>
      </c>
    </row>
    <row r="27" spans="1:21">
      <c r="A27" t="s">
        <v>12</v>
      </c>
      <c r="B27" s="25">
        <f>'SA by prov 08-09'!B57</f>
        <v>419.70500000000004</v>
      </c>
      <c r="C27" s="181" t="s">
        <v>237</v>
      </c>
      <c r="D27" s="193" t="s">
        <v>653</v>
      </c>
      <c r="E27" s="52" t="s">
        <v>272</v>
      </c>
      <c r="L27" s="7"/>
      <c r="M27" s="7"/>
      <c r="N27" t="s">
        <v>302</v>
      </c>
    </row>
    <row r="28" spans="1:21">
      <c r="A28" s="3" t="s">
        <v>24</v>
      </c>
      <c r="B28" s="183">
        <f>SUM(B26:B27)</f>
        <v>6682.6462500000016</v>
      </c>
      <c r="C28" s="183" t="s">
        <v>237</v>
      </c>
      <c r="D28" s="193" t="s">
        <v>653</v>
      </c>
      <c r="L28" s="7">
        <f>B28/B41</f>
        <v>0.25296145564065919</v>
      </c>
      <c r="M28" s="7"/>
    </row>
    <row r="29" spans="1:21">
      <c r="B29" s="9"/>
      <c r="C29" s="9"/>
      <c r="D29" s="22"/>
      <c r="L29" s="7"/>
      <c r="M29" s="7"/>
    </row>
    <row r="30" spans="1:21">
      <c r="A30" s="2" t="s">
        <v>13</v>
      </c>
      <c r="B30" s="9"/>
      <c r="C30" s="9"/>
      <c r="D30" s="22"/>
      <c r="L30" s="7"/>
      <c r="M30" s="7"/>
    </row>
    <row r="31" spans="1:21">
      <c r="A31" t="s">
        <v>7</v>
      </c>
      <c r="B31" s="102">
        <v>5190.8</v>
      </c>
      <c r="C31" s="102" t="s">
        <v>237</v>
      </c>
      <c r="D31" s="22" t="s">
        <v>301</v>
      </c>
      <c r="E31" t="s">
        <v>166</v>
      </c>
      <c r="L31" s="7"/>
      <c r="M31" s="7"/>
      <c r="N31" t="s">
        <v>165</v>
      </c>
    </row>
    <row r="32" spans="1:21">
      <c r="B32" s="9"/>
      <c r="C32" s="9"/>
      <c r="D32" s="22"/>
      <c r="E32" t="s">
        <v>167</v>
      </c>
      <c r="L32" s="7"/>
      <c r="M32" s="7"/>
    </row>
    <row r="33" spans="1:14">
      <c r="A33" t="s">
        <v>8</v>
      </c>
      <c r="B33" s="9">
        <v>177.6</v>
      </c>
      <c r="C33" s="9"/>
      <c r="D33" s="22"/>
      <c r="E33" t="s">
        <v>169</v>
      </c>
      <c r="L33" s="7"/>
      <c r="M33" s="7"/>
      <c r="N33" t="s">
        <v>106</v>
      </c>
    </row>
    <row r="34" spans="1:14">
      <c r="A34" s="3" t="s">
        <v>57</v>
      </c>
      <c r="B34" s="21">
        <f>SUM(B31:B33)</f>
        <v>5368.4000000000005</v>
      </c>
      <c r="C34" s="21"/>
      <c r="D34" s="22"/>
      <c r="L34" s="7">
        <f>B34/B41</f>
        <v>0.20321265373897571</v>
      </c>
      <c r="M34" s="7"/>
    </row>
    <row r="35" spans="1:14">
      <c r="A35" s="3"/>
      <c r="B35" s="21"/>
      <c r="C35" s="21"/>
      <c r="D35" s="22"/>
      <c r="L35" s="7"/>
      <c r="M35" s="7"/>
    </row>
    <row r="36" spans="1:14">
      <c r="A36" t="s">
        <v>64</v>
      </c>
      <c r="B36" s="9"/>
      <c r="C36" s="9"/>
      <c r="D36" s="22"/>
      <c r="L36" s="7"/>
      <c r="M36" s="7"/>
    </row>
    <row r="37" spans="1:14">
      <c r="A37" t="s">
        <v>9</v>
      </c>
      <c r="B37" s="9">
        <v>1189</v>
      </c>
      <c r="C37" s="9" t="s">
        <v>237</v>
      </c>
      <c r="D37" s="22">
        <v>2008</v>
      </c>
      <c r="E37" t="s">
        <v>109</v>
      </c>
      <c r="L37" s="7"/>
      <c r="M37" s="7"/>
      <c r="N37" t="s">
        <v>75</v>
      </c>
    </row>
    <row r="38" spans="1:14">
      <c r="A38" t="s">
        <v>10</v>
      </c>
      <c r="B38" s="9">
        <v>4141</v>
      </c>
      <c r="C38" s="9" t="s">
        <v>237</v>
      </c>
      <c r="D38" s="22"/>
      <c r="E38" t="s">
        <v>109</v>
      </c>
      <c r="L38" s="7"/>
      <c r="M38" s="7"/>
      <c r="N38" t="s">
        <v>378</v>
      </c>
    </row>
    <row r="39" spans="1:14">
      <c r="A39" s="3" t="s">
        <v>24</v>
      </c>
      <c r="B39" s="21">
        <f>SUM(B37:B38)</f>
        <v>5330</v>
      </c>
      <c r="C39" s="21" t="s">
        <v>237</v>
      </c>
      <c r="D39" s="22"/>
      <c r="L39" s="7">
        <f>B39/B41</f>
        <v>0.20175907988017666</v>
      </c>
      <c r="M39" s="7"/>
    </row>
    <row r="40" spans="1:14">
      <c r="B40" s="9"/>
      <c r="C40" s="9"/>
      <c r="D40" s="22"/>
    </row>
    <row r="41" spans="1:14" ht="15.75">
      <c r="A41" s="4" t="s">
        <v>23</v>
      </c>
      <c r="B41" s="176">
        <f>SUM(B13+B19+B23+B28+B34+B39)</f>
        <v>26417.646250000002</v>
      </c>
      <c r="C41" s="176" t="s">
        <v>237</v>
      </c>
      <c r="D41" s="193" t="s">
        <v>653</v>
      </c>
      <c r="E41" s="30"/>
    </row>
    <row r="42" spans="1:14" ht="15.75">
      <c r="A42" s="4"/>
      <c r="B42" s="4"/>
      <c r="C42" s="4"/>
    </row>
    <row r="43" spans="1:14" ht="15.75">
      <c r="A43" s="204" t="s">
        <v>652</v>
      </c>
      <c r="B43" s="4"/>
      <c r="C43" s="4"/>
    </row>
    <row r="44" spans="1:14" ht="15.75">
      <c r="A44" s="4"/>
      <c r="B44" s="4"/>
      <c r="C44" s="4"/>
    </row>
    <row r="45" spans="1:14">
      <c r="A45" s="52" t="s">
        <v>387</v>
      </c>
    </row>
    <row r="46" spans="1:14">
      <c r="A46" t="s">
        <v>319</v>
      </c>
      <c r="B46" s="1"/>
      <c r="C46" s="1"/>
    </row>
    <row r="47" spans="1:14">
      <c r="B47" s="1"/>
      <c r="C47" s="1"/>
      <c r="E47" s="2"/>
      <c r="N47" s="2"/>
    </row>
    <row r="48" spans="1:14">
      <c r="A48" s="136" t="s">
        <v>396</v>
      </c>
      <c r="B48" s="136"/>
      <c r="C48" s="136"/>
      <c r="D48" s="136"/>
    </row>
    <row r="50" spans="1:13">
      <c r="A50" s="153" t="s">
        <v>600</v>
      </c>
      <c r="B50" s="154"/>
      <c r="C50" s="154"/>
      <c r="D50" s="192"/>
      <c r="E50" s="153"/>
      <c r="F50" s="153"/>
    </row>
    <row r="51" spans="1:13">
      <c r="A51" s="153" t="s">
        <v>651</v>
      </c>
      <c r="B51" s="154"/>
      <c r="C51" s="154"/>
      <c r="D51" s="192"/>
    </row>
    <row r="52" spans="1:13">
      <c r="B52" s="9"/>
      <c r="C52" s="9"/>
      <c r="D52" s="22"/>
    </row>
    <row r="53" spans="1:13">
      <c r="B53" s="9"/>
      <c r="C53" s="9"/>
      <c r="D53" s="22"/>
    </row>
    <row r="54" spans="1:13">
      <c r="B54" s="9"/>
      <c r="C54" s="9"/>
      <c r="D54" s="22"/>
    </row>
    <row r="55" spans="1:13">
      <c r="B55" s="9"/>
      <c r="C55" s="9"/>
      <c r="D55" s="22"/>
    </row>
    <row r="56" spans="1:13">
      <c r="B56" s="9"/>
      <c r="C56" s="9"/>
      <c r="D56" s="22"/>
      <c r="L56" s="7"/>
      <c r="M56" s="7"/>
    </row>
    <row r="57" spans="1:13">
      <c r="A57" s="3"/>
      <c r="B57" s="21"/>
      <c r="C57" s="21"/>
      <c r="D57" s="22"/>
      <c r="L57" s="7"/>
      <c r="M57" s="7"/>
    </row>
    <row r="58" spans="1:13">
      <c r="B58" s="9"/>
      <c r="C58" s="9"/>
      <c r="D58" s="22"/>
      <c r="L58" s="7"/>
      <c r="M58" s="7"/>
    </row>
    <row r="59" spans="1:13">
      <c r="A59" s="2"/>
      <c r="B59" s="9"/>
      <c r="C59" s="9"/>
      <c r="D59" s="22"/>
      <c r="L59" s="7"/>
      <c r="M59" s="7"/>
    </row>
    <row r="60" spans="1:13">
      <c r="B60" s="9"/>
      <c r="C60" s="9"/>
      <c r="D60" s="22"/>
      <c r="L60" s="7"/>
      <c r="M60" s="7"/>
    </row>
    <row r="61" spans="1:13">
      <c r="B61" s="9"/>
      <c r="C61" s="9"/>
      <c r="D61" s="22"/>
      <c r="L61" s="7"/>
      <c r="M61" s="7"/>
    </row>
    <row r="62" spans="1:13">
      <c r="B62" s="9"/>
      <c r="C62" s="9"/>
      <c r="D62" s="22"/>
      <c r="L62" s="7"/>
      <c r="M62" s="7"/>
    </row>
    <row r="63" spans="1:13">
      <c r="A63" s="3"/>
      <c r="B63" s="21"/>
      <c r="C63" s="21"/>
      <c r="D63" s="22"/>
      <c r="L63" s="7"/>
      <c r="M63" s="7"/>
    </row>
    <row r="64" spans="1:13">
      <c r="B64" s="9"/>
      <c r="C64" s="9"/>
      <c r="D64" s="22"/>
      <c r="L64" s="7"/>
      <c r="M64" s="7"/>
    </row>
    <row r="65" spans="1:13">
      <c r="A65" s="2"/>
      <c r="B65" s="9"/>
      <c r="C65" s="9"/>
      <c r="D65" s="22"/>
      <c r="L65" s="7"/>
      <c r="M65" s="7"/>
    </row>
    <row r="66" spans="1:13">
      <c r="B66" s="9"/>
      <c r="C66" s="9"/>
      <c r="D66" s="22"/>
      <c r="L66" s="7"/>
      <c r="M66" s="7"/>
    </row>
    <row r="67" spans="1:13">
      <c r="A67" s="3"/>
      <c r="B67" s="21"/>
      <c r="C67" s="21"/>
      <c r="D67" s="22"/>
      <c r="L67" s="7"/>
      <c r="M67" s="7"/>
    </row>
    <row r="68" spans="1:13">
      <c r="B68" s="9"/>
      <c r="C68" s="9"/>
      <c r="D68" s="22"/>
      <c r="L68" s="7"/>
      <c r="M68" s="7"/>
    </row>
    <row r="69" spans="1:13">
      <c r="A69" s="2"/>
      <c r="B69" s="9"/>
      <c r="C69" s="9"/>
      <c r="D69" s="22"/>
      <c r="J69" s="9"/>
      <c r="L69" s="7"/>
      <c r="M69" s="7"/>
    </row>
    <row r="70" spans="1:13">
      <c r="B70" s="9"/>
      <c r="C70" s="9"/>
      <c r="D70" s="22"/>
      <c r="L70" s="7"/>
      <c r="M70" s="7"/>
    </row>
    <row r="71" spans="1:13">
      <c r="B71" s="9"/>
      <c r="C71" s="9"/>
      <c r="D71" s="22"/>
      <c r="L71" s="7"/>
      <c r="M71" s="7"/>
    </row>
    <row r="72" spans="1:13">
      <c r="A72" s="3"/>
      <c r="B72" s="21"/>
      <c r="C72" s="21"/>
      <c r="D72" s="22"/>
      <c r="L72" s="7"/>
      <c r="M72" s="7"/>
    </row>
    <row r="73" spans="1:13">
      <c r="B73" s="9"/>
      <c r="C73" s="9"/>
      <c r="D73" s="22"/>
      <c r="L73" s="7"/>
      <c r="M73" s="7"/>
    </row>
    <row r="74" spans="1:13">
      <c r="A74" s="2"/>
      <c r="B74" s="9"/>
      <c r="C74" s="9"/>
      <c r="D74" s="22"/>
      <c r="L74" s="7"/>
      <c r="M74" s="7"/>
    </row>
    <row r="75" spans="1:13">
      <c r="B75" s="9"/>
      <c r="C75" s="9"/>
      <c r="D75" s="22"/>
      <c r="L75" s="7"/>
      <c r="M75" s="7"/>
    </row>
    <row r="76" spans="1:13">
      <c r="B76" s="9"/>
      <c r="C76" s="9"/>
      <c r="D76" s="22"/>
      <c r="L76" s="7"/>
      <c r="M76" s="7"/>
    </row>
    <row r="77" spans="1:13">
      <c r="A77" s="3"/>
      <c r="B77" s="21"/>
      <c r="C77" s="21"/>
      <c r="D77" s="22"/>
      <c r="L77" s="7"/>
      <c r="M77" s="7"/>
    </row>
    <row r="78" spans="1:13">
      <c r="B78" s="9"/>
      <c r="C78" s="9"/>
      <c r="D78" s="22"/>
      <c r="L78" s="7"/>
      <c r="M78" s="7"/>
    </row>
    <row r="79" spans="1:13">
      <c r="B79" s="9"/>
      <c r="C79" s="9"/>
      <c r="D79" s="22"/>
      <c r="L79" s="7"/>
      <c r="M79" s="7"/>
    </row>
    <row r="80" spans="1:13">
      <c r="B80" s="9"/>
      <c r="C80" s="9"/>
      <c r="D80" s="22"/>
      <c r="L80" s="7"/>
      <c r="M80" s="7"/>
    </row>
    <row r="81" spans="1:13">
      <c r="A81" s="3"/>
      <c r="B81" s="21"/>
      <c r="C81" s="21"/>
      <c r="D81" s="22"/>
      <c r="L81" s="7"/>
      <c r="M81" s="7"/>
    </row>
    <row r="82" spans="1:13">
      <c r="B82" s="9"/>
      <c r="C82" s="9"/>
      <c r="D82" s="22"/>
    </row>
    <row r="83" spans="1:13" ht="15.75">
      <c r="A83" s="4"/>
      <c r="B83" s="17"/>
      <c r="C83" s="17"/>
    </row>
    <row r="84" spans="1:13" ht="15.75">
      <c r="A84" s="4"/>
      <c r="B84" s="4"/>
      <c r="C84" s="4"/>
    </row>
    <row r="85" spans="1:13" ht="15.75">
      <c r="A85" s="4"/>
      <c r="B85" s="4"/>
      <c r="C85" s="4"/>
    </row>
    <row r="96" spans="1:13">
      <c r="B96" s="6"/>
      <c r="C96" s="6"/>
      <c r="E96" s="7"/>
    </row>
    <row r="97" spans="2:5">
      <c r="B97" s="6"/>
      <c r="C97" s="6"/>
      <c r="E97" s="7"/>
    </row>
    <row r="98" spans="2:5">
      <c r="B98" s="6"/>
      <c r="C98" s="6"/>
      <c r="E98" s="7"/>
    </row>
    <row r="99" spans="2:5">
      <c r="B99" s="5"/>
      <c r="C99" s="5"/>
      <c r="E99" s="7"/>
    </row>
    <row r="102" spans="2:5">
      <c r="B102" s="8"/>
      <c r="C102" s="8"/>
    </row>
  </sheetData>
  <hyperlinks>
    <hyperlink ref="N12" r:id="rId1"/>
    <hyperlink ref="N6" r:id="rId2" location="toc6"/>
    <hyperlink ref="N18" r:id="rId3"/>
  </hyperlinks>
  <pageMargins left="0.75" right="0.75" top="1" bottom="1" header="0.5" footer="0.5"/>
  <pageSetup scale="57" orientation="landscape" horizontalDpi="300" verticalDpi="0" r:id="rId4"/>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2:Q60"/>
  <sheetViews>
    <sheetView topLeftCell="A4" workbookViewId="0">
      <selection activeCell="S32" sqref="S32"/>
    </sheetView>
  </sheetViews>
  <sheetFormatPr defaultRowHeight="12.75"/>
  <cols>
    <col min="1" max="1" width="35.42578125" customWidth="1"/>
    <col min="2" max="2" width="10.140625" bestFit="1" customWidth="1"/>
    <col min="3" max="3" width="2.7109375" customWidth="1"/>
    <col min="4" max="4" width="16.7109375" customWidth="1"/>
    <col min="13" max="13" width="2.7109375" customWidth="1"/>
  </cols>
  <sheetData>
    <row r="2" spans="1:17">
      <c r="B2" s="1" t="s">
        <v>58</v>
      </c>
      <c r="C2" s="1"/>
    </row>
    <row r="3" spans="1:17">
      <c r="B3" s="1" t="s">
        <v>16</v>
      </c>
      <c r="C3" s="1"/>
      <c r="E3" s="2" t="s">
        <v>59</v>
      </c>
      <c r="N3" s="2" t="s">
        <v>92</v>
      </c>
    </row>
    <row r="4" spans="1:17">
      <c r="A4" s="2" t="s">
        <v>11</v>
      </c>
    </row>
    <row r="6" spans="1:17">
      <c r="A6" t="s">
        <v>0</v>
      </c>
      <c r="B6" s="9">
        <v>540</v>
      </c>
      <c r="C6" s="9" t="s">
        <v>237</v>
      </c>
      <c r="D6" s="22" t="s">
        <v>95</v>
      </c>
      <c r="E6" t="s">
        <v>354</v>
      </c>
      <c r="N6" s="38" t="s">
        <v>344</v>
      </c>
    </row>
    <row r="7" spans="1:17">
      <c r="A7" t="s">
        <v>1</v>
      </c>
      <c r="B7" s="9">
        <v>875</v>
      </c>
      <c r="C7" s="9" t="s">
        <v>237</v>
      </c>
      <c r="D7" s="22" t="s">
        <v>95</v>
      </c>
      <c r="E7" t="s">
        <v>354</v>
      </c>
    </row>
    <row r="8" spans="1:17">
      <c r="A8" t="s">
        <v>14</v>
      </c>
      <c r="B8" s="9">
        <v>85</v>
      </c>
      <c r="C8" s="9" t="s">
        <v>237</v>
      </c>
      <c r="D8" s="22" t="s">
        <v>95</v>
      </c>
      <c r="E8" t="s">
        <v>354</v>
      </c>
    </row>
    <row r="9" spans="1:17">
      <c r="A9" t="s">
        <v>2</v>
      </c>
      <c r="B9" s="9">
        <v>5</v>
      </c>
      <c r="C9" s="9" t="s">
        <v>237</v>
      </c>
      <c r="D9" s="22" t="s">
        <v>95</v>
      </c>
      <c r="E9" t="s">
        <v>354</v>
      </c>
    </row>
    <row r="10" spans="1:17">
      <c r="A10" s="52" t="s">
        <v>273</v>
      </c>
      <c r="B10" s="9"/>
      <c r="C10" s="9" t="s">
        <v>237</v>
      </c>
      <c r="D10" s="22" t="s">
        <v>95</v>
      </c>
      <c r="E10" t="s">
        <v>354</v>
      </c>
    </row>
    <row r="11" spans="1:17">
      <c r="A11" t="s">
        <v>3</v>
      </c>
      <c r="B11" s="9">
        <v>115</v>
      </c>
      <c r="C11" s="9" t="s">
        <v>237</v>
      </c>
      <c r="D11" s="22" t="s">
        <v>95</v>
      </c>
      <c r="E11" t="s">
        <v>354</v>
      </c>
    </row>
    <row r="12" spans="1:17">
      <c r="A12" t="s">
        <v>15</v>
      </c>
      <c r="B12" s="9">
        <v>90</v>
      </c>
      <c r="C12" s="9"/>
      <c r="D12" s="22" t="s">
        <v>340</v>
      </c>
      <c r="E12" t="s">
        <v>341</v>
      </c>
      <c r="L12" s="7"/>
      <c r="M12" s="7"/>
      <c r="N12" s="38" t="s">
        <v>342</v>
      </c>
    </row>
    <row r="13" spans="1:17">
      <c r="A13" s="3" t="s">
        <v>24</v>
      </c>
      <c r="B13" s="21">
        <f>SUM(B6:B12)</f>
        <v>1710</v>
      </c>
      <c r="C13" s="21" t="s">
        <v>237</v>
      </c>
      <c r="D13" s="22"/>
      <c r="L13" s="7">
        <f>B13/B40</f>
        <v>7.3554556188583559E-2</v>
      </c>
      <c r="M13" s="7"/>
    </row>
    <row r="14" spans="1:17">
      <c r="B14" s="9"/>
      <c r="C14" s="9"/>
      <c r="D14" s="22"/>
      <c r="L14" s="7"/>
      <c r="M14" s="7"/>
    </row>
    <row r="15" spans="1:17">
      <c r="A15" s="2" t="s">
        <v>4</v>
      </c>
      <c r="B15" s="9"/>
      <c r="C15" s="9"/>
      <c r="D15" s="22"/>
      <c r="L15" s="7"/>
      <c r="M15" s="7"/>
    </row>
    <row r="16" spans="1:17">
      <c r="A16" t="s">
        <v>5</v>
      </c>
      <c r="B16" s="102">
        <v>3127</v>
      </c>
      <c r="C16" s="102" t="s">
        <v>237</v>
      </c>
      <c r="D16" s="22"/>
      <c r="E16" s="103" t="s">
        <v>204</v>
      </c>
      <c r="F16" s="103"/>
      <c r="G16" s="103"/>
      <c r="H16" s="103"/>
      <c r="I16" s="103"/>
      <c r="J16" s="103"/>
      <c r="L16" s="7"/>
      <c r="M16" s="7"/>
      <c r="N16" s="103" t="s">
        <v>304</v>
      </c>
      <c r="O16" s="103"/>
      <c r="P16" s="103"/>
      <c r="Q16" s="103"/>
    </row>
    <row r="17" spans="1:17">
      <c r="A17" t="s">
        <v>69</v>
      </c>
      <c r="B17" s="102">
        <v>652.79999999999995</v>
      </c>
      <c r="C17" s="102" t="s">
        <v>237</v>
      </c>
      <c r="D17" s="22"/>
      <c r="E17" s="103" t="s">
        <v>371</v>
      </c>
      <c r="F17" s="103"/>
      <c r="G17" s="103"/>
      <c r="H17" s="103"/>
      <c r="I17" s="103"/>
      <c r="J17" s="103"/>
      <c r="L17" s="7"/>
      <c r="M17" s="7"/>
      <c r="N17" s="103" t="s">
        <v>304</v>
      </c>
      <c r="O17" s="103"/>
      <c r="P17" s="103"/>
      <c r="Q17" s="103"/>
    </row>
    <row r="18" spans="1:17">
      <c r="A18" t="s">
        <v>6</v>
      </c>
      <c r="B18" s="9">
        <v>859.2</v>
      </c>
      <c r="C18" s="9"/>
      <c r="D18" s="22"/>
      <c r="E18" t="s">
        <v>316</v>
      </c>
      <c r="L18" s="7"/>
      <c r="M18" s="7"/>
      <c r="N18" t="s">
        <v>72</v>
      </c>
    </row>
    <row r="19" spans="1:17">
      <c r="A19" s="3" t="s">
        <v>24</v>
      </c>
      <c r="B19" s="112">
        <f>SUM(B16:B18)</f>
        <v>4639</v>
      </c>
      <c r="C19" s="112" t="s">
        <v>237</v>
      </c>
      <c r="D19" s="22"/>
      <c r="L19" s="7">
        <f>B19/B40</f>
        <v>0.19954361763674802</v>
      </c>
      <c r="M19" s="7"/>
    </row>
    <row r="20" spans="1:17">
      <c r="B20" s="9"/>
      <c r="C20" s="9"/>
      <c r="D20" s="22"/>
      <c r="L20" s="7"/>
      <c r="M20" s="7"/>
    </row>
    <row r="21" spans="1:17">
      <c r="A21" s="2" t="s">
        <v>99</v>
      </c>
      <c r="B21" s="9"/>
      <c r="C21" s="9"/>
      <c r="D21" s="22"/>
      <c r="L21" s="7"/>
      <c r="M21" s="7"/>
    </row>
    <row r="22" spans="1:17">
      <c r="A22" t="s">
        <v>100</v>
      </c>
      <c r="B22" s="9">
        <v>1656</v>
      </c>
      <c r="C22" s="9"/>
      <c r="D22" s="22"/>
      <c r="E22" t="s">
        <v>60</v>
      </c>
      <c r="L22" s="7"/>
      <c r="M22" s="7"/>
      <c r="N22" t="s">
        <v>102</v>
      </c>
    </row>
    <row r="23" spans="1:17">
      <c r="A23" s="3" t="s">
        <v>24</v>
      </c>
      <c r="B23" s="21">
        <f>SUM(B22:B22)</f>
        <v>1656</v>
      </c>
      <c r="C23" s="21"/>
      <c r="D23" s="22"/>
      <c r="L23" s="7">
        <f>B23/B40</f>
        <v>7.123178072999671E-2</v>
      </c>
      <c r="M23" s="7"/>
      <c r="N23" t="s">
        <v>103</v>
      </c>
    </row>
    <row r="24" spans="1:17">
      <c r="B24" s="9"/>
      <c r="C24" s="9"/>
      <c r="D24" s="22"/>
      <c r="L24" s="7"/>
      <c r="M24" s="7"/>
    </row>
    <row r="25" spans="1:17">
      <c r="A25" s="2" t="s">
        <v>18</v>
      </c>
      <c r="B25" s="9"/>
      <c r="C25" s="9"/>
      <c r="D25" s="22"/>
      <c r="J25" s="9"/>
      <c r="L25" s="7"/>
      <c r="M25" s="7"/>
    </row>
    <row r="26" spans="1:17">
      <c r="A26" t="s">
        <v>17</v>
      </c>
      <c r="B26" s="181">
        <f>'SA by provi 05-06'!B51</f>
        <v>5581.9300000000012</v>
      </c>
      <c r="C26" s="181" t="s">
        <v>237</v>
      </c>
      <c r="D26" s="193" t="s">
        <v>653</v>
      </c>
      <c r="E26" s="52" t="s">
        <v>227</v>
      </c>
      <c r="L26" s="7"/>
      <c r="M26" s="7"/>
      <c r="N26" s="2" t="s">
        <v>229</v>
      </c>
    </row>
    <row r="27" spans="1:17">
      <c r="A27" t="s">
        <v>12</v>
      </c>
      <c r="B27" s="25">
        <f>'SA by provi 05-06'!B52</f>
        <v>375.32</v>
      </c>
      <c r="C27" s="181" t="s">
        <v>237</v>
      </c>
      <c r="D27" s="193" t="s">
        <v>653</v>
      </c>
      <c r="E27" s="52" t="s">
        <v>228</v>
      </c>
      <c r="L27" s="7"/>
      <c r="M27" s="7"/>
    </row>
    <row r="28" spans="1:17">
      <c r="A28" s="3" t="s">
        <v>24</v>
      </c>
      <c r="B28" s="183">
        <f>SUM(B26:B27)</f>
        <v>5957.2500000000009</v>
      </c>
      <c r="C28" s="183" t="s">
        <v>237</v>
      </c>
      <c r="D28" s="193" t="s">
        <v>653</v>
      </c>
      <c r="L28" s="7">
        <f>B28/B40</f>
        <v>0.25624729816049091</v>
      </c>
      <c r="M28" s="7"/>
    </row>
    <row r="29" spans="1:17">
      <c r="B29" s="9"/>
      <c r="C29" s="9"/>
      <c r="D29" s="22"/>
      <c r="L29" s="7"/>
      <c r="M29" s="7"/>
    </row>
    <row r="30" spans="1:17">
      <c r="A30" s="2" t="s">
        <v>13</v>
      </c>
      <c r="B30" s="9"/>
      <c r="C30" s="9"/>
      <c r="D30" s="22"/>
      <c r="L30" s="7"/>
      <c r="M30" s="7"/>
    </row>
    <row r="31" spans="1:17">
      <c r="A31" t="s">
        <v>7</v>
      </c>
      <c r="B31" s="25">
        <v>4729.1000000000004</v>
      </c>
      <c r="C31" s="31"/>
      <c r="D31" s="22" t="s">
        <v>73</v>
      </c>
      <c r="E31" t="s">
        <v>96</v>
      </c>
      <c r="L31" s="7"/>
      <c r="M31" s="7"/>
      <c r="N31" t="s">
        <v>74</v>
      </c>
    </row>
    <row r="32" spans="1:17">
      <c r="B32" s="9"/>
      <c r="C32" s="9"/>
      <c r="D32" s="22"/>
      <c r="E32" s="2" t="s">
        <v>226</v>
      </c>
      <c r="L32" s="7"/>
      <c r="M32" s="7"/>
      <c r="N32" s="53"/>
    </row>
    <row r="33" spans="1:14">
      <c r="A33" t="s">
        <v>8</v>
      </c>
      <c r="B33" s="9">
        <v>107.7</v>
      </c>
      <c r="C33" s="9"/>
      <c r="D33" s="22"/>
      <c r="E33" t="s">
        <v>70</v>
      </c>
      <c r="L33" s="7"/>
      <c r="M33" s="7"/>
    </row>
    <row r="34" spans="1:14">
      <c r="A34" s="3" t="s">
        <v>57</v>
      </c>
      <c r="B34" s="21">
        <f>SUM(B31:B33)</f>
        <v>4836.8</v>
      </c>
      <c r="C34" s="21"/>
      <c r="D34" s="22"/>
      <c r="L34" s="7">
        <f>B34/B40</f>
        <v>0.20805185811283097</v>
      </c>
      <c r="M34" s="7"/>
    </row>
    <row r="35" spans="1:14">
      <c r="A35" t="s">
        <v>64</v>
      </c>
      <c r="B35" s="9"/>
      <c r="C35" s="9"/>
      <c r="D35" s="22"/>
      <c r="L35" s="7"/>
      <c r="M35" s="7"/>
    </row>
    <row r="36" spans="1:14">
      <c r="A36" t="s">
        <v>9</v>
      </c>
      <c r="B36" s="9">
        <v>956</v>
      </c>
      <c r="C36" s="9" t="s">
        <v>237</v>
      </c>
      <c r="D36" s="22">
        <v>2005</v>
      </c>
      <c r="E36" t="s">
        <v>61</v>
      </c>
      <c r="L36" s="7"/>
      <c r="M36" s="7"/>
      <c r="N36" t="s">
        <v>75</v>
      </c>
    </row>
    <row r="37" spans="1:14">
      <c r="A37" t="s">
        <v>10</v>
      </c>
      <c r="B37" s="9">
        <v>3493</v>
      </c>
      <c r="C37" s="9" t="s">
        <v>237</v>
      </c>
      <c r="D37" s="22"/>
      <c r="E37" t="s">
        <v>61</v>
      </c>
      <c r="L37" s="7"/>
      <c r="M37" s="7"/>
      <c r="N37" t="s">
        <v>378</v>
      </c>
    </row>
    <row r="38" spans="1:14">
      <c r="A38" s="3" t="s">
        <v>24</v>
      </c>
      <c r="B38" s="21">
        <f>SUM(B36:B37)</f>
        <v>4449</v>
      </c>
      <c r="C38" s="21" t="s">
        <v>237</v>
      </c>
      <c r="D38" s="22"/>
      <c r="L38" s="7">
        <f>B38/B40</f>
        <v>0.19137088917134987</v>
      </c>
      <c r="M38" s="7"/>
    </row>
    <row r="39" spans="1:14">
      <c r="B39" s="9"/>
      <c r="C39" s="9"/>
      <c r="D39" s="22"/>
    </row>
    <row r="40" spans="1:14" ht="15.75">
      <c r="A40" s="4" t="s">
        <v>23</v>
      </c>
      <c r="B40" s="176">
        <f>SUM(B13+B19+B23+B28+B34+B38)</f>
        <v>23248.05</v>
      </c>
      <c r="C40" s="176" t="s">
        <v>237</v>
      </c>
      <c r="D40" s="193" t="s">
        <v>653</v>
      </c>
      <c r="N40" s="53"/>
    </row>
    <row r="41" spans="1:14" ht="15.75">
      <c r="A41" s="4"/>
      <c r="B41" s="4"/>
      <c r="C41" s="4"/>
    </row>
    <row r="42" spans="1:14" ht="15.75">
      <c r="A42" s="204" t="s">
        <v>652</v>
      </c>
      <c r="B42" s="4"/>
      <c r="C42" s="4"/>
    </row>
    <row r="43" spans="1:14" ht="15.75">
      <c r="A43" s="4"/>
      <c r="B43" s="4"/>
      <c r="C43" s="4"/>
    </row>
    <row r="44" spans="1:14">
      <c r="A44" s="52" t="s">
        <v>387</v>
      </c>
    </row>
    <row r="45" spans="1:14">
      <c r="A45" t="s">
        <v>319</v>
      </c>
    </row>
    <row r="47" spans="1:14">
      <c r="A47" s="153" t="s">
        <v>600</v>
      </c>
      <c r="B47" s="153"/>
      <c r="C47" s="153"/>
      <c r="D47" s="153"/>
      <c r="E47" s="153"/>
      <c r="F47" s="153"/>
    </row>
    <row r="48" spans="1:14">
      <c r="A48" s="153" t="s">
        <v>651</v>
      </c>
      <c r="B48" s="153"/>
      <c r="C48" s="153"/>
      <c r="D48" s="153"/>
    </row>
    <row r="54" spans="2:5">
      <c r="B54" s="6"/>
      <c r="C54" s="6"/>
      <c r="E54" s="7"/>
    </row>
    <row r="55" spans="2:5">
      <c r="B55" s="6"/>
      <c r="C55" s="6"/>
      <c r="E55" s="7"/>
    </row>
    <row r="56" spans="2:5">
      <c r="B56" s="6"/>
      <c r="C56" s="6"/>
      <c r="E56" s="7"/>
    </row>
    <row r="57" spans="2:5">
      <c r="B57" s="5"/>
      <c r="C57" s="5"/>
      <c r="E57" s="7"/>
    </row>
    <row r="60" spans="2:5">
      <c r="B60" s="8"/>
      <c r="C60" s="8"/>
    </row>
  </sheetData>
  <hyperlinks>
    <hyperlink ref="N12" r:id="rId1"/>
    <hyperlink ref="N6" r:id="rId2" location="toc6" display="http://www.fin.gc.ca/taxexp-depfisc/2011/taxexp1101-eng.asp - toc6"/>
  </hyperlinks>
  <pageMargins left="0.70866141732283472" right="0.70866141732283472" top="0.74803149606299213" bottom="0.74803149606299213" header="0.31496062992125984" footer="0.31496062992125984"/>
  <pageSetup scale="55" orientation="landscape"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44</vt:i4>
      </vt:variant>
      <vt:variant>
        <vt:lpstr>Charts</vt:lpstr>
      </vt:variant>
      <vt:variant>
        <vt:i4>177</vt:i4>
      </vt:variant>
      <vt:variant>
        <vt:lpstr>Named Ranges</vt:lpstr>
      </vt:variant>
      <vt:variant>
        <vt:i4>1</vt:i4>
      </vt:variant>
    </vt:vector>
  </HeadingPairs>
  <TitlesOfParts>
    <vt:vector size="222" baseType="lpstr">
      <vt:lpstr>Introduction</vt:lpstr>
      <vt:lpstr>CANADA TABLE TO 13-14</vt:lpstr>
      <vt:lpstr>CAN Disability detailes 13-14</vt:lpstr>
      <vt:lpstr>CAN Disability details 12-13</vt:lpstr>
      <vt:lpstr>CAN Disability details 11-12</vt:lpstr>
      <vt:lpstr>CAN Disability details 10-11</vt:lpstr>
      <vt:lpstr>CAN Disability details 09-10</vt:lpstr>
      <vt:lpstr>CAN Dis $ details 08-09</vt:lpstr>
      <vt:lpstr>Disability $ details 05-06</vt:lpstr>
      <vt:lpstr>CAN input to 09-10 charts</vt:lpstr>
      <vt:lpstr>CAN &amp; ON input to 2013-14</vt:lpstr>
      <vt:lpstr>ONT Disability details 13-14</vt:lpstr>
      <vt:lpstr>ONT disability details 12-13</vt:lpstr>
      <vt:lpstr>ONT input 09-10 &amp; 13-14 charts</vt:lpstr>
      <vt:lpstr>ONT TABLE TO 11-12</vt:lpstr>
      <vt:lpstr>Ont Disability details 11-12</vt:lpstr>
      <vt:lpstr>ONT Disability details 10-11</vt:lpstr>
      <vt:lpstr>ONT Disability details 09-10</vt:lpstr>
      <vt:lpstr>ONT DIS $ 2008-09</vt:lpstr>
      <vt:lpstr>ONT DIS $ 2005-06</vt:lpstr>
      <vt:lpstr>SA $ by prov 13-14</vt:lpstr>
      <vt:lpstr>SA $ by prov 12-13</vt:lpstr>
      <vt:lpstr>SA $ by prov 11-12</vt:lpstr>
      <vt:lpstr>SA $ by prov 10-11</vt:lpstr>
      <vt:lpstr>SA $ by prov 09-10</vt:lpstr>
      <vt:lpstr>SA by prov 08-09</vt:lpstr>
      <vt:lpstr>SA by provi 05-06</vt:lpstr>
      <vt:lpstr>SA $ by prov 04-05</vt:lpstr>
      <vt:lpstr>Manitoba</vt:lpstr>
      <vt:lpstr>BC</vt:lpstr>
      <vt:lpstr>Alberta</vt:lpstr>
      <vt:lpstr>NFLD</vt:lpstr>
      <vt:lpstr>PEI</vt:lpstr>
      <vt:lpstr>NS</vt:lpstr>
      <vt:lpstr>NB</vt:lpstr>
      <vt:lpstr>QUE</vt:lpstr>
      <vt:lpstr>SASK</vt:lpstr>
      <vt:lpstr>check</vt:lpstr>
      <vt:lpstr>Input to bar by province</vt:lpstr>
      <vt:lpstr>EI DATA</vt:lpstr>
      <vt:lpstr>All provs input 2011-12</vt:lpstr>
      <vt:lpstr>input to 6 prov chart</vt:lpstr>
      <vt:lpstr>ON MB AB BC input to bar</vt:lpstr>
      <vt:lpstr>PER CAPITA #s &amp; CHARTS</vt:lpstr>
      <vt:lpstr>CAN 2013 ROLLUP CHART</vt:lpstr>
      <vt:lpstr>CAN PIE 13-14</vt:lpstr>
      <vt:lpstr>CAN pie 11-12</vt:lpstr>
      <vt:lpstr>CAN pie 10-11</vt:lpstr>
      <vt:lpstr>CAN pie 09-10</vt:lpstr>
      <vt:lpstr>CAN pie 08-09 </vt:lpstr>
      <vt:lpstr>CAN pie 05-06 </vt:lpstr>
      <vt:lpstr>CAN 2013 % Change by program</vt:lpstr>
      <vt:lpstr>Canada 2011 chart by pgm</vt:lpstr>
      <vt:lpstr>Rev Canada 2010 chart by pgm</vt:lpstr>
      <vt:lpstr>Can pgm change 3 yrs</vt:lpstr>
      <vt:lpstr>CAN ROLLUP 3 YEARS</vt:lpstr>
      <vt:lpstr>CANADA 2011 ROLLUP CHART</vt:lpstr>
      <vt:lpstr>CANADA 2010 CHART ROLLUP</vt:lpstr>
      <vt:lpstr>CAN total $ 05 &amp; 13</vt:lpstr>
      <vt:lpstr>ON total $ 05 13</vt:lpstr>
      <vt:lpstr>ONT PIE 2013</vt:lpstr>
      <vt:lpstr>ON pie 11-12</vt:lpstr>
      <vt:lpstr>ON pie 10-11</vt:lpstr>
      <vt:lpstr>ONT rev pie 09-10</vt:lpstr>
      <vt:lpstr>ONT rev pie 08-09</vt:lpstr>
      <vt:lpstr>ONT rev pie 05-06</vt:lpstr>
      <vt:lpstr>ONT by program to 2013</vt:lpstr>
      <vt:lpstr>Ont 2011 chart by pgm</vt:lpstr>
      <vt:lpstr>rev ONT 2010 chart by pgm</vt:lpstr>
      <vt:lpstr>Ont pgm 3 yrs</vt:lpstr>
      <vt:lpstr>ONT 2013 rollup</vt:lpstr>
      <vt:lpstr>ONT rollup 3 years</vt:lpstr>
      <vt:lpstr>ONT 2011 rollup</vt:lpstr>
      <vt:lpstr>REV ONT 2010 CHART ROLLUP</vt:lpstr>
      <vt:lpstr>ONT - ROLLUP CHANGE 2 YEARS</vt:lpstr>
      <vt:lpstr>Man pie 2013</vt:lpstr>
      <vt:lpstr>Man pie 2005</vt:lpstr>
      <vt:lpstr>Man pie 11-12</vt:lpstr>
      <vt:lpstr>Man pie 10-11</vt:lpstr>
      <vt:lpstr>Man pie 09-10</vt:lpstr>
      <vt:lpstr>Man % change 05 to 13</vt:lpstr>
      <vt:lpstr>Man % change 10-11</vt:lpstr>
      <vt:lpstr>Man bar % change by pgm</vt:lpstr>
      <vt:lpstr>Man 3 yrs. by pgm</vt:lpstr>
      <vt:lpstr>Man 2 yrs, by pgm</vt:lpstr>
      <vt:lpstr>Man 3 year rollup</vt:lpstr>
      <vt:lpstr>Man 2 year rollup</vt:lpstr>
      <vt:lpstr>Man rollup 2013</vt:lpstr>
      <vt:lpstr>Man Chart Rollup</vt:lpstr>
      <vt:lpstr>BC total $ 05 13</vt:lpstr>
      <vt:lpstr>BC pie 2013</vt:lpstr>
      <vt:lpstr>BC pie 2005</vt:lpstr>
      <vt:lpstr>BC pie 11-12</vt:lpstr>
      <vt:lpstr>BC pie 10-11</vt:lpstr>
      <vt:lpstr>BC pie 09-10</vt:lpstr>
      <vt:lpstr>BC % change by pgm 2013</vt:lpstr>
      <vt:lpstr>BC % change 10-11</vt:lpstr>
      <vt:lpstr>BC pgm bar, 3 yrs</vt:lpstr>
      <vt:lpstr>BC rollup 3 yrs</vt:lpstr>
      <vt:lpstr>BC pgm bar, 2 yrs</vt:lpstr>
      <vt:lpstr>BC rollup2 yrs</vt:lpstr>
      <vt:lpstr>BC rollup 2013</vt:lpstr>
      <vt:lpstr>BC Chart Rollup</vt:lpstr>
      <vt:lpstr>AB pie 2013</vt:lpstr>
      <vt:lpstr>AB pie 2005</vt:lpstr>
      <vt:lpstr>AB pie 11-12</vt:lpstr>
      <vt:lpstr>AB pie 10-11</vt:lpstr>
      <vt:lpstr>AB Pie </vt:lpstr>
      <vt:lpstr>AB % change to 2013</vt:lpstr>
      <vt:lpstr>AB % change 10-11</vt:lpstr>
      <vt:lpstr>AB bar % change by program</vt:lpstr>
      <vt:lpstr>AB pgm change 3 yrs</vt:lpstr>
      <vt:lpstr>AB pgm change 2 yrs</vt:lpstr>
      <vt:lpstr>AB rollup 3 yrs</vt:lpstr>
      <vt:lpstr>AB rollup 2 yrs</vt:lpstr>
      <vt:lpstr>AB rollup 2013</vt:lpstr>
      <vt:lpstr>AB chart rollup</vt:lpstr>
      <vt:lpstr>AB chart rollup AISH separate</vt:lpstr>
      <vt:lpstr>NF total $ 05 13</vt:lpstr>
      <vt:lpstr>Nfld pie 2005</vt:lpstr>
      <vt:lpstr>Nfld pie 2013</vt:lpstr>
      <vt:lpstr>NF pie 11-12</vt:lpstr>
      <vt:lpstr>NF pie 10-11</vt:lpstr>
      <vt:lpstr>NF pie 9-10</vt:lpstr>
      <vt:lpstr>NF % change by pgm 2013</vt:lpstr>
      <vt:lpstr>NF % pgm change 10-11</vt:lpstr>
      <vt:lpstr>NF bar % change by program</vt:lpstr>
      <vt:lpstr>NFLD pgm change 3 yrs</vt:lpstr>
      <vt:lpstr>NFLD pgm change 2 yrs</vt:lpstr>
      <vt:lpstr>NF rollup 3 yrs</vt:lpstr>
      <vt:lpstr>NF rollup 2 yrs</vt:lpstr>
      <vt:lpstr>NF rollup 2013</vt:lpstr>
      <vt:lpstr>NF chart rollup</vt:lpstr>
      <vt:lpstr>PEI pie 2013</vt:lpstr>
      <vt:lpstr>PEI  pie 2005</vt:lpstr>
      <vt:lpstr>PEI pie 11-12</vt:lpstr>
      <vt:lpstr>PEI pie 10-11</vt:lpstr>
      <vt:lpstr>PEI pie</vt:lpstr>
      <vt:lpstr>PEI change 2013</vt:lpstr>
      <vt:lpstr>PEI % change 10-11</vt:lpstr>
      <vt:lpstr>PEI bar % change by program</vt:lpstr>
      <vt:lpstr>PEI pgm change 3 yrs</vt:lpstr>
      <vt:lpstr>PEI pgm change 2 yrs</vt:lpstr>
      <vt:lpstr>PEI rollup 3 yrs</vt:lpstr>
      <vt:lpstr>PEI rollup 2 yrs</vt:lpstr>
      <vt:lpstr>PEI rollup 2013</vt:lpstr>
      <vt:lpstr>PEI chart rollup</vt:lpstr>
      <vt:lpstr>NS pie 2013</vt:lpstr>
      <vt:lpstr>NS pie 2005</vt:lpstr>
      <vt:lpstr>NS pie 11-12</vt:lpstr>
      <vt:lpstr>NS pie 10-11</vt:lpstr>
      <vt:lpstr>NS pie</vt:lpstr>
      <vt:lpstr>NS bar % change 2013</vt:lpstr>
      <vt:lpstr>NS bar % change 10-11</vt:lpstr>
      <vt:lpstr>NS bar % change by program</vt:lpstr>
      <vt:lpstr>NS pgm change 3 yrs</vt:lpstr>
      <vt:lpstr>NS pgm change 2 yrs</vt:lpstr>
      <vt:lpstr>NS rollup 3 yrs</vt:lpstr>
      <vt:lpstr>NS rollup 2 yrs</vt:lpstr>
      <vt:lpstr>NS rollup 2013</vt:lpstr>
      <vt:lpstr>NS chart rollup</vt:lpstr>
      <vt:lpstr>NB pie 2013</vt:lpstr>
      <vt:lpstr>NB pie 2005</vt:lpstr>
      <vt:lpstr>NB pie 11-12</vt:lpstr>
      <vt:lpstr>NB pie 10-11</vt:lpstr>
      <vt:lpstr>NB pie</vt:lpstr>
      <vt:lpstr>NB pgm change to 2013</vt:lpstr>
      <vt:lpstr>NB bar % change 10-11</vt:lpstr>
      <vt:lpstr>NB bar % change by program</vt:lpstr>
      <vt:lpstr>NB pgm change 3 yrs</vt:lpstr>
      <vt:lpstr>NB pgm change 2 yrs</vt:lpstr>
      <vt:lpstr>NB rollup 3 yrs</vt:lpstr>
      <vt:lpstr>NB rollup 2 yrs</vt:lpstr>
      <vt:lpstr>NB rollup 2013</vt:lpstr>
      <vt:lpstr> NB chart rollup</vt:lpstr>
      <vt:lpstr>QUE total $ 05 13</vt:lpstr>
      <vt:lpstr>Que pie 2013</vt:lpstr>
      <vt:lpstr>Que pie 2005</vt:lpstr>
      <vt:lpstr>QUE pie 11-12</vt:lpstr>
      <vt:lpstr>QUE pie 10-11</vt:lpstr>
      <vt:lpstr>QUE pie 9-10</vt:lpstr>
      <vt:lpstr>QUE $ pgm change 2013</vt:lpstr>
      <vt:lpstr>QUE bar % change 10-11</vt:lpstr>
      <vt:lpstr>QUE bar % change by program</vt:lpstr>
      <vt:lpstr>QUE pgm change 3 yrs</vt:lpstr>
      <vt:lpstr>QUE pgm change 2 yrs</vt:lpstr>
      <vt:lpstr>que rollup 3 yrs</vt:lpstr>
      <vt:lpstr>QUE rollup 2 yrs</vt:lpstr>
      <vt:lpstr>QUE rollup 2013</vt:lpstr>
      <vt:lpstr>QUE chart rollup</vt:lpstr>
      <vt:lpstr>SASK pie 2013</vt:lpstr>
      <vt:lpstr>SASK pie 2005</vt:lpstr>
      <vt:lpstr>SASK pie 11-12</vt:lpstr>
      <vt:lpstr>SASK pie 10-11</vt:lpstr>
      <vt:lpstr>SASK pie</vt:lpstr>
      <vt:lpstr>SASK pgm change 2013</vt:lpstr>
      <vt:lpstr>SASK bar % change 10-11</vt:lpstr>
      <vt:lpstr>SASK bar % change by program</vt:lpstr>
      <vt:lpstr>SASK pgm change 3 yrs</vt:lpstr>
      <vt:lpstr>SASK pgm change 2 yrs</vt:lpstr>
      <vt:lpstr>SASK rollup 3 yrs</vt:lpstr>
      <vt:lpstr>SASK rollup 2 yrs</vt:lpstr>
      <vt:lpstr>SASK rollup2013</vt:lpstr>
      <vt:lpstr>SASK chart rollup</vt:lpstr>
      <vt:lpstr>SA increase by prov to 2013</vt:lpstr>
      <vt:lpstr>SA increase 2009 and 2013</vt:lpstr>
      <vt:lpstr>SA increase by prov to 11-12</vt:lpstr>
      <vt:lpstr>Bar SA increase 3 yrs</vt:lpstr>
      <vt:lpstr>Bar SA increase 2 yrs</vt:lpstr>
      <vt:lpstr>Bar chart Increase all prov</vt:lpstr>
      <vt:lpstr>EI BAR RATIO 13</vt:lpstr>
      <vt:lpstr>EI earner ratio 09 10</vt:lpstr>
      <vt:lpstr>EI per cap pmts 09 &amp; 10</vt:lpstr>
      <vt:lpstr>EI per cap pmts 13</vt:lpstr>
      <vt:lpstr>CHANGE NL,QC,ON,BC,CAN 2013</vt:lpstr>
      <vt:lpstr>All prov, SA only 2011-12</vt:lpstr>
      <vt:lpstr> All prov, total 2011-12</vt:lpstr>
      <vt:lpstr>All provs, Total excl SA 11-12</vt:lpstr>
      <vt:lpstr>Changes in east</vt:lpstr>
      <vt:lpstr>Changes in west</vt:lpstr>
      <vt:lpstr>Bar chart SA change 5 province</vt:lpstr>
      <vt:lpstr>Introduction!_GoBack</vt:lpstr>
    </vt:vector>
  </TitlesOfParts>
  <Company>Canadian Social Research Links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Gilles Seguin</dc:creator>
  <cp:lastModifiedBy>etompa</cp:lastModifiedBy>
  <cp:lastPrinted>2015-10-29T16:33:30Z</cp:lastPrinted>
  <dcterms:created xsi:type="dcterms:W3CDTF">2007-10-30T16:11:33Z</dcterms:created>
  <dcterms:modified xsi:type="dcterms:W3CDTF">2016-01-19T23:09:44Z</dcterms:modified>
</cp:coreProperties>
</file>